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20" windowWidth="19320" windowHeight="12500" tabRatio="522" activeTab="2"/>
  </bookViews>
  <sheets>
    <sheet name="Release Plan" sheetId="1" r:id="rId1"/>
    <sheet name="Product Backlog" sheetId="2" r:id="rId2"/>
    <sheet name="PB Burndown" sheetId="3" r:id="rId3"/>
    <sheet name="Sp1" sheetId="4" r:id="rId4"/>
    <sheet name="Sp2" sheetId="5" r:id="rId5"/>
    <sheet name="Sp3" sheetId="6" r:id="rId6"/>
    <sheet name="Sp4" sheetId="7" r:id="rId7"/>
    <sheet name="Sp5" sheetId="8" r:id="rId8"/>
    <sheet name="Sp6" sheetId="9" r:id="rId9"/>
    <sheet name="Sp7" sheetId="10" r:id="rId10"/>
    <sheet name="Sprint Sheet Template" sheetId="11" r:id="rId11"/>
    <sheet name="Task Slips" sheetId="12" r:id="rId12"/>
  </sheets>
  <definedNames>
    <definedName name="AverageSpeedLastEight">OFFSET('PB Burndown'!$P$27,1,0,'PB Burndown'!$G$3,1)</definedName>
    <definedName name="AverageSpeedRealized">OFFSET('PB Burndown'!$O$27,1,0,'PB Burndown'!$G$3,1)</definedName>
    <definedName name="AverageSpeedWorstThree">OFFSET('PB Burndown'!$Q$27,1,0,'PB Burndown'!$G$3,1)</definedName>
    <definedName name="ColBottomCurrentScope">OFFSET('PB Burndown'!$I$27,1,0,'PB Burndown'!$G$3,1)</definedName>
    <definedName name="ColTopRemainingWork">OFFSET('PB Burndown'!$F$27,1,0,'PB Burndown'!$G$3,1)</definedName>
    <definedName name="DoneDays" localSheetId="3">'Sp1'!$D$11</definedName>
    <definedName name="DoneDays" localSheetId="4">'Sp2'!$D$11</definedName>
    <definedName name="DoneDays" localSheetId="5">'Sp3'!$D$11</definedName>
    <definedName name="DoneDays" localSheetId="6">'Sp4'!$D$11</definedName>
    <definedName name="DoneDays" localSheetId="7">'Sp5'!$D$11</definedName>
    <definedName name="DoneDays" localSheetId="8">'Sp6'!$D$11</definedName>
    <definedName name="DoneDays" localSheetId="9">'Sp7'!$D$11</definedName>
    <definedName name="DoneDays" localSheetId="10">'Sprint Sheet Template'!$D$11</definedName>
    <definedName name="DoneDays">#REF!</definedName>
    <definedName name="ImplementationDays" localSheetId="3">'Sp1'!$B$9</definedName>
    <definedName name="ImplementationDays" localSheetId="4">'Sp2'!$B$9</definedName>
    <definedName name="ImplementationDays" localSheetId="5">'Sp3'!$B$9</definedName>
    <definedName name="ImplementationDays" localSheetId="6">'Sp4'!$B$9</definedName>
    <definedName name="ImplementationDays" localSheetId="7">'Sp5'!$B$9</definedName>
    <definedName name="ImplementationDays" localSheetId="8">'Sp6'!$B$9</definedName>
    <definedName name="ImplementationDays" localSheetId="9">'Sp7'!$B$9</definedName>
    <definedName name="ImplementationDays" localSheetId="10">'Sprint Sheet Template'!$B$9</definedName>
    <definedName name="ImplementationDays">#REF!</definedName>
    <definedName name="LastEight">IF('PB Burndown'!$G$4&gt;8,OFFSET('PB Burndown'!$D$27,'PB Burndown'!$G$4-7,0,8,1),OFFSET('PB Burndown'!$D$27,1,0,'PB Burndown'!$G$4-1,1))</definedName>
    <definedName name="LastPlanned">IF(OFFSET('PB Burndown'!$B$27,1,0,1,1)="",1,OFFSET('PB Burndown'!$B$27,'PB Burndown'!$G$3,0,1,1))</definedName>
    <definedName name="LastRealized">IF(OFFSET('PB Burndown'!$D$27,1,0,1,1)="",1,OFFSET('PB Burndown'!$D$27,'PB Burndown'!$G$3,0,1,1))</definedName>
    <definedName name="PBCurrentBottom">OFFSET('PB Burndown'!$N$27,1,0,'PB Burndown'!$G$9,1)</definedName>
    <definedName name="PBTrend">OFFSET('PB Burndown'!$M$27,1,0,'PB Burndown'!$G$9,1)</definedName>
    <definedName name="PlannedSpeed">OFFSET('PB Burndown'!$C$27,1,0,'PB Burndown'!$G$3,1)</definedName>
    <definedName name="_xlnm.Print_Area" localSheetId="1">'Product Backlog'!$A:$G</definedName>
    <definedName name="_xlnm.Print_Area" localSheetId="11">'Task Slips'!#REF!</definedName>
    <definedName name="ProductBacklog">'Product Backlog'!$A$4:$G$162</definedName>
    <definedName name="RealizedSpeed">OFFSET('PB Burndown'!$D$27,1,0,'PB Burndown'!$G$3,1)</definedName>
    <definedName name="RealValues" localSheetId="3">OFFSET('Sp1'!$F$10,0,0,1,'Sp1'!DoneDays)</definedName>
    <definedName name="RealValues" localSheetId="4">OFFSET('Sp2'!$F$10,0,0,1,'Sp2'!DoneDays)</definedName>
    <definedName name="RealValues" localSheetId="5">OFFSET('Sp3'!$F$10,0,0,1,'Sp3'!DoneDays)</definedName>
    <definedName name="RealValues" localSheetId="6">OFFSET('Sp4'!$F$10,0,0,1,'Sp4'!DoneDays)</definedName>
    <definedName name="RealValues" localSheetId="7">OFFSET('Sp5'!$F$10,0,0,1,'Sp5'!DoneDays)</definedName>
    <definedName name="RealValues" localSheetId="8">OFFSET('Sp6'!$F$10,0,0,1,'Sp6'!DoneDays)</definedName>
    <definedName name="RealValues" localSheetId="9">OFFSET('Sp7'!$F$10,0,0,1,'Sp7'!DoneDays)</definedName>
    <definedName name="RealValues" localSheetId="10">OFFSET('Sprint Sheet Template'!$F$10,0,0,1,'Sprint Sheet Template'!DoneDays)</definedName>
    <definedName name="Sprint">'Product Backlog'!$E$5:$E$162</definedName>
    <definedName name="SprintCount">'PB Burndown'!$G$3</definedName>
    <definedName name="SprintsInTrend">'PB Burndown'!$G$6</definedName>
    <definedName name="SprintTasks" localSheetId="3">'Sp1'!$A$14:$AD$63</definedName>
    <definedName name="SprintTasks" localSheetId="4">'Sp2'!$A$14:$AD$63</definedName>
    <definedName name="SprintTasks" localSheetId="5">'Sp3'!$A$14:$AD$63</definedName>
    <definedName name="SprintTasks" localSheetId="6">'Sp4'!$A$14:$AD$63</definedName>
    <definedName name="SprintTasks" localSheetId="7">'Sp5'!$A$14:$AD$63</definedName>
    <definedName name="SprintTasks" localSheetId="8">'Sp6'!$A$14:$AD$63</definedName>
    <definedName name="SprintTasks" localSheetId="9">'Sp7'!$A$14:$AD$63</definedName>
    <definedName name="SprintTasks">'Sprint Sheet Template'!$A$14:$AD$63</definedName>
    <definedName name="Status">'Product Backlog'!$C$5:$C$162</definedName>
    <definedName name="StoryName">'Product Backlog'!$B$5:$B$162</definedName>
    <definedName name="TaskRows" localSheetId="3">'Sp1'!$B$11</definedName>
    <definedName name="TaskRows" localSheetId="4">'Sp2'!$B$11</definedName>
    <definedName name="TaskRows" localSheetId="5">'Sp3'!$B$11</definedName>
    <definedName name="TaskRows" localSheetId="6">'Sp4'!$B$11</definedName>
    <definedName name="TaskRows" localSheetId="7">'Sp5'!$B$11</definedName>
    <definedName name="TaskRows" localSheetId="8">'Sp6'!$B$11</definedName>
    <definedName name="TaskRows" localSheetId="9">'Sp7'!$B$11</definedName>
    <definedName name="TaskRows" localSheetId="10">'Sprint Sheet Template'!$B$11</definedName>
    <definedName name="TaskRows">#REF!</definedName>
    <definedName name="TaskStatus" localSheetId="3">'Sp1'!$D$14:$D$58</definedName>
    <definedName name="TaskStatus" localSheetId="4">'Sp2'!$D$14:$D$58</definedName>
    <definedName name="TaskStatus" localSheetId="5">'Sp3'!$D$14:$D$58</definedName>
    <definedName name="TaskStatus" localSheetId="6">'Sp4'!$D$14:$D$58</definedName>
    <definedName name="TaskStatus" localSheetId="7">'Sp5'!$D$14:$D$58</definedName>
    <definedName name="TaskStatus" localSheetId="8">'Sp6'!$D$14:$D$58</definedName>
    <definedName name="TaskStatus" localSheetId="9">'Sp7'!$D$14:$D$58</definedName>
    <definedName name="TaskStatus">'Sprint Sheet Template'!$D$14:$D$58</definedName>
    <definedName name="TaskStoryID" localSheetId="3">'Sp1'!$B$14:$B$53</definedName>
    <definedName name="TaskStoryID" localSheetId="4">'Sp2'!$B$14:$B$53</definedName>
    <definedName name="TaskStoryID" localSheetId="5">'Sp3'!$B$14:$B$53</definedName>
    <definedName name="TaskStoryID" localSheetId="6">'Sp4'!$B$14:$B$53</definedName>
    <definedName name="TaskStoryID" localSheetId="7">'Sp5'!$B$14:$B$53</definedName>
    <definedName name="TaskStoryID" localSheetId="8">'Sp6'!$B$14:$B$53</definedName>
    <definedName name="TaskStoryID" localSheetId="9">'Sp7'!$B$14:$B$53</definedName>
    <definedName name="TaskStoryID">'Sprint Sheet Template'!$B$14:$B$53</definedName>
    <definedName name="TotalEffort" localSheetId="3">'Sp1'!$E$10</definedName>
    <definedName name="TotalEffort" localSheetId="4">'Sp2'!$E$10</definedName>
    <definedName name="TotalEffort" localSheetId="5">'Sp3'!$E$10</definedName>
    <definedName name="TotalEffort" localSheetId="6">'Sp4'!$E$10</definedName>
    <definedName name="TotalEffort" localSheetId="7">'Sp5'!$E$10</definedName>
    <definedName name="TotalEffort" localSheetId="8">'Sp6'!$E$10</definedName>
    <definedName name="TotalEffort" localSheetId="9">'Sp7'!$E$10</definedName>
    <definedName name="TotalEffort" localSheetId="10">'Sprint Sheet Template'!$E$10</definedName>
    <definedName name="TotalEffort">#REF!</definedName>
    <definedName name="TrendDays" localSheetId="3">'Sp1'!$D$13</definedName>
    <definedName name="TrendDays" localSheetId="4">'Sp2'!$D$13</definedName>
    <definedName name="TrendDays" localSheetId="5">'Sp3'!$D$13</definedName>
    <definedName name="TrendDays" localSheetId="6">'Sp4'!$D$13</definedName>
    <definedName name="TrendDays" localSheetId="7">'Sp5'!$D$13</definedName>
    <definedName name="TrendDays" localSheetId="8">'Sp6'!$D$13</definedName>
    <definedName name="TrendDays" localSheetId="9">'Sp7'!$D$13</definedName>
    <definedName name="TrendDays">'Sprint Sheet Template'!$D$13</definedName>
    <definedName name="TrendOffset">'PB Burndown'!$G$5</definedName>
    <definedName name="TrendSprintCount">'PB Burndown'!$G$4</definedName>
  </definedNames>
  <calcPr fullCalcOnLoad="1"/>
</workbook>
</file>

<file path=xl/comments10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11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2.xml><?xml version="1.0" encoding="utf-8"?>
<comments xmlns="http://schemas.openxmlformats.org/spreadsheetml/2006/main">
  <authors>
    <author>Petri Heiramo</author>
  </authors>
  <commentList>
    <comment ref="D4" authorId="0">
      <text>
        <r>
          <rPr>
            <sz val="8"/>
            <rFont val="Tahoma"/>
            <family val="0"/>
          </rPr>
          <t>Story Points or Ideal Days</t>
        </r>
      </text>
    </comment>
    <comment ref="A4" authorId="0">
      <text>
        <r>
          <rPr>
            <sz val="8"/>
            <rFont val="Tahoma"/>
            <family val="0"/>
          </rPr>
          <t>Once a Story ID is given to a story, do not change that number or reuse it even if you delete the story.</t>
        </r>
      </text>
    </comment>
    <comment ref="C4" authorId="0">
      <text>
        <r>
          <rPr>
            <b/>
            <sz val="8"/>
            <rFont val="Tahoma"/>
            <family val="0"/>
          </rPr>
          <t>Use the following statuses:</t>
        </r>
        <r>
          <rPr>
            <sz val="8"/>
            <rFont val="Tahoma"/>
            <family val="0"/>
          </rPr>
          <t xml:space="preserve">
Planned (or empty)
Ongoing
Done
Removed
The sheet uses the above statuses in the formatting and calculation formulas.</t>
        </r>
      </text>
    </comment>
    <comment ref="E4" authorId="0">
      <text>
        <r>
          <rPr>
            <sz val="8"/>
            <rFont val="Tahoma"/>
            <family val="0"/>
          </rPr>
          <t>Create a release plan by assigning stories to planned sprints. If there are more stories in the backlog than in the plan, leave the remaining stories unassigned to sprints.</t>
        </r>
      </text>
    </comment>
    <comment ref="F4" authorId="0">
      <text>
        <r>
          <rPr>
            <sz val="8"/>
            <rFont val="Tahoma"/>
            <family val="0"/>
          </rPr>
          <t>You may assign priorities to the stories, but keep in mind that priority does not always equal implementation order.</t>
        </r>
      </text>
    </comment>
  </commentList>
</comments>
</file>

<file path=xl/comments3.xml><?xml version="1.0" encoding="utf-8"?>
<comments xmlns="http://schemas.openxmlformats.org/spreadsheetml/2006/main">
  <authors>
    <author>Petri Heiramo</author>
  </authors>
  <commentList>
    <comment ref="B17" authorId="0">
      <text>
        <r>
          <rPr>
            <sz val="8"/>
            <rFont val="Tahoma"/>
            <family val="0"/>
          </rPr>
          <t>Average estimate * 1,6</t>
        </r>
      </text>
    </comment>
    <comment ref="B15" authorId="0">
      <text>
        <r>
          <rPr>
            <sz val="8"/>
            <rFont val="Tahoma"/>
            <family val="0"/>
          </rPr>
          <t>Average estimate * 0,6</t>
        </r>
      </text>
    </comment>
    <comment ref="B19" authorId="0">
      <text>
        <r>
          <rPr>
            <sz val="8"/>
            <rFont val="Tahoma"/>
            <family val="0"/>
          </rPr>
          <t>As of latest Product Backlog estimate</t>
        </r>
      </text>
    </comment>
  </commentList>
</comments>
</file>

<file path=xl/comments4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5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6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7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8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9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0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sharedStrings.xml><?xml version="1.0" encoding="utf-8"?>
<sst xmlns="http://schemas.openxmlformats.org/spreadsheetml/2006/main" count="523" uniqueCount="199">
  <si>
    <t>Predictions - Completion at the end of sprint…</t>
  </si>
  <si>
    <t>Original estimate - Min</t>
  </si>
  <si>
    <t>Original estimate - Max</t>
  </si>
  <si>
    <t>Original estimate - Avg</t>
  </si>
  <si>
    <t>Trend Help</t>
  </si>
  <si>
    <t>Trend sprint count</t>
  </si>
  <si>
    <t>Realized total average</t>
  </si>
  <si>
    <t>Standard Dev.</t>
  </si>
  <si>
    <t>Realized + St. Dev</t>
  </si>
  <si>
    <t>Realized - St. Dev</t>
  </si>
  <si>
    <t>LastPlanned</t>
  </si>
  <si>
    <t>LastRealized</t>
  </si>
  <si>
    <t>Remain.Work</t>
  </si>
  <si>
    <t>Planned Work</t>
  </si>
  <si>
    <t>Realized Work</t>
  </si>
  <si>
    <t>Current Total Size</t>
  </si>
  <si>
    <t>Average Speeds</t>
  </si>
  <si>
    <t>Last 8</t>
  </si>
  <si>
    <t>Worst 3 in Last 8</t>
  </si>
  <si>
    <t>Velocity (points per sprint)</t>
  </si>
  <si>
    <t>Priority</t>
  </si>
  <si>
    <t>Planning</t>
  </si>
  <si>
    <t xml:space="preserve"> </t>
  </si>
  <si>
    <t>Done</t>
  </si>
  <si>
    <t>Example task</t>
  </si>
  <si>
    <t>Example task 2</t>
  </si>
  <si>
    <t>Ongoing</t>
  </si>
  <si>
    <t>Use cases</t>
  </si>
  <si>
    <t>Sprint implementation in weeks</t>
  </si>
  <si>
    <t>Sprint implementation weeks</t>
  </si>
  <si>
    <t>Remaining on implementation week…</t>
  </si>
  <si>
    <t>Design, documentation and interim presentation</t>
  </si>
  <si>
    <t>Implementation and testing</t>
  </si>
  <si>
    <t>Implementation, testing and documentation</t>
  </si>
  <si>
    <t>Release</t>
  </si>
  <si>
    <t>Testing document</t>
  </si>
  <si>
    <t>Update website</t>
  </si>
  <si>
    <t>REQ-2.8: return report of only placed students</t>
  </si>
  <si>
    <t>REQ-2.9: return report of active, but not placed students</t>
  </si>
  <si>
    <t>REQ-2.10: return report of all students matching criteria</t>
  </si>
  <si>
    <t>REQ-2.11: search for single student by first name</t>
  </si>
  <si>
    <t>REQ-2.12: search for single student by last name</t>
  </si>
  <si>
    <t>REQ-2.13: search for single student by UID</t>
  </si>
  <si>
    <t>REQ-2.14: get a student’s registration history</t>
  </si>
  <si>
    <t>REQ-2.15: provide all reports in simple XML format</t>
  </si>
  <si>
    <t>REQ-3.1: get all companies</t>
  </si>
  <si>
    <t>REQ-3.2: get all account managers</t>
  </si>
  <si>
    <t>Note:</t>
  </si>
  <si>
    <t xml:space="preserve">In this chart, the tops of the bars show the amount of actual </t>
  </si>
  <si>
    <t>in the project increases, the bottoms move lower). The length</t>
  </si>
  <si>
    <t>of the bars indicate the estimated size of the project at the</t>
  </si>
  <si>
    <t xml:space="preserve">(or planned) implemented functionality at the beginning of each sprint. </t>
  </si>
  <si>
    <t>The bottoms of the bars show the changes in project scope</t>
  </si>
  <si>
    <t>(i.e. if the amount of story points</t>
  </si>
  <si>
    <t xml:space="preserve">beginning of each sprint. </t>
  </si>
  <si>
    <t>The red line indicates the current planned scope.</t>
  </si>
  <si>
    <t>Initial 
Estimate</t>
  </si>
  <si>
    <t>Story ID:</t>
  </si>
  <si>
    <t>Story:</t>
  </si>
  <si>
    <t>Task:</t>
  </si>
  <si>
    <t>Work 
Left</t>
  </si>
  <si>
    <t>Work 
Done</t>
  </si>
  <si>
    <t>Goal</t>
  </si>
  <si>
    <t>Start</t>
  </si>
  <si>
    <t>End</t>
  </si>
  <si>
    <t>Status</t>
  </si>
  <si>
    <t>Release Date</t>
  </si>
  <si>
    <t>Product Backlog</t>
  </si>
  <si>
    <t>Story name</t>
  </si>
  <si>
    <t>Task name</t>
  </si>
  <si>
    <t>Responsible</t>
  </si>
  <si>
    <t>Effort</t>
  </si>
  <si>
    <t>Est.</t>
  </si>
  <si>
    <t>Remaining on implementation day…</t>
  </si>
  <si>
    <t>Sprint implementation days</t>
  </si>
  <si>
    <t>Sprint</t>
  </si>
  <si>
    <t>Sprint Plan</t>
  </si>
  <si>
    <t>Totals</t>
  </si>
  <si>
    <t>Size</t>
  </si>
  <si>
    <t>Planned</t>
  </si>
  <si>
    <t>Unallocated stories</t>
  </si>
  <si>
    <t>Story ID</t>
  </si>
  <si>
    <t>Task rows</t>
  </si>
  <si>
    <t>Done days</t>
  </si>
  <si>
    <t>Trend</t>
  </si>
  <si>
    <t>Trend Days</t>
  </si>
  <si>
    <t>Warning! These are necessary</t>
  </si>
  <si>
    <t>template rows</t>
  </si>
  <si>
    <t>Comments</t>
  </si>
  <si>
    <t>Trend calculated based on last</t>
  </si>
  <si>
    <t>Days</t>
  </si>
  <si>
    <t>Increment</t>
  </si>
  <si>
    <t>Product Backlog Burndown Chart</t>
  </si>
  <si>
    <t>Realized</t>
  </si>
  <si>
    <t>Col top</t>
  </si>
  <si>
    <t>Col bottom</t>
  </si>
  <si>
    <t>Original planned size</t>
  </si>
  <si>
    <t>Do not delete…</t>
  </si>
  <si>
    <t>Sprint count</t>
  </si>
  <si>
    <t>Count trend from last</t>
  </si>
  <si>
    <t>sprints</t>
  </si>
  <si>
    <t>Trend offset</t>
  </si>
  <si>
    <t>Sprints in Trend</t>
  </si>
  <si>
    <t>Current Bottom</t>
  </si>
  <si>
    <t>Real Trend</t>
  </si>
  <si>
    <t>Original estimate</t>
  </si>
  <si>
    <t>Realized average</t>
  </si>
  <si>
    <t>Average last 8</t>
  </si>
  <si>
    <t>Avg. worst 3 in last 8</t>
  </si>
  <si>
    <t>Raw Trend</t>
  </si>
  <si>
    <t>Trend count</t>
  </si>
  <si>
    <t>These hidden cells are used to draw the graph on this page. DO NOT DELETE!</t>
  </si>
  <si>
    <t>REQ-4.11: return report of placements from student perspective(show SIS status)</t>
  </si>
  <si>
    <t>REQ-4.12: provide all reports in simple XML format</t>
  </si>
  <si>
    <t>REQ-5.1: get all possible activity types</t>
  </si>
  <si>
    <t>REQ-5.2: filter activity records by start and end quarters</t>
  </si>
  <si>
    <t>REQ-5.3: filter activity records by single activity</t>
  </si>
  <si>
    <t>REQ-5.4: filter activity records by major(s)</t>
  </si>
  <si>
    <t>REQ-5.5: return report of student’s activity by UID</t>
  </si>
  <si>
    <t>REQ-5.6: return report of activity records grouped by activity type</t>
  </si>
  <si>
    <t>REQ-5.7: return report of activity records grouped by college</t>
  </si>
  <si>
    <t>Example task 3</t>
  </si>
  <si>
    <t>&lt;Delete these example lines&gt;</t>
  </si>
  <si>
    <t>This is a sample story</t>
  </si>
  <si>
    <t>This is another sample story</t>
  </si>
  <si>
    <t>Mike</t>
  </si>
  <si>
    <t>Architecture document</t>
  </si>
  <si>
    <t>Use cases / stories</t>
  </si>
  <si>
    <t>Metrics</t>
  </si>
  <si>
    <t>Layer interface</t>
  </si>
  <si>
    <t>e.g. XML structure, security contract, etc</t>
  </si>
  <si>
    <t>Released</t>
  </si>
  <si>
    <t>Team</t>
  </si>
  <si>
    <t>Create draft high level architecture</t>
  </si>
  <si>
    <t>Write primary flow/activity diagrams</t>
  </si>
  <si>
    <t>Class diagram</t>
  </si>
  <si>
    <t>Chris</t>
  </si>
  <si>
    <t>Class design</t>
  </si>
  <si>
    <t>Metrics document</t>
  </si>
  <si>
    <t>Dan</t>
  </si>
  <si>
    <t>Use case document</t>
  </si>
  <si>
    <t>Juan</t>
  </si>
  <si>
    <t>High level design and document drafts</t>
  </si>
  <si>
    <t>In depth documentation and design</t>
  </si>
  <si>
    <t>Study and comprehend system and technologies needed</t>
  </si>
  <si>
    <t>Research</t>
  </si>
  <si>
    <t>Presentation</t>
  </si>
  <si>
    <t>SE tasks</t>
  </si>
  <si>
    <t>Testing</t>
  </si>
  <si>
    <t>REQ-1.1: verify and validate and identify client</t>
  </si>
  <si>
    <t>REQ-1.2: get all majors</t>
  </si>
  <si>
    <t>REQ-1.3: get all colleges</t>
  </si>
  <si>
    <t>REQ-1.4: get all job types</t>
  </si>
  <si>
    <t>REQ-1.6: get all locations (state/regions)</t>
  </si>
  <si>
    <t>REQ-1.7: get all OCECS regions (from regions table)</t>
  </si>
  <si>
    <t>REQ-1.8: get quarters</t>
  </si>
  <si>
    <t>REQ-1.9: get month/quarter mapping</t>
  </si>
  <si>
    <t>REQ-2.1: filter student records by a start and end quarters (inclusive start and end).</t>
  </si>
  <si>
    <t>REQ-2.2: filter by job types</t>
  </si>
  <si>
    <t>REQ-2.3: filter students by gender</t>
  </si>
  <si>
    <t>REQ-2.4: filter by major(s) - can select multiple majors to query</t>
  </si>
  <si>
    <t>REQ-2.5: filter by only NTID students</t>
  </si>
  <si>
    <t>REQ-2.6: filter by only International students</t>
  </si>
  <si>
    <t>ERQ-2.7: filter by students search status</t>
  </si>
  <si>
    <t>REQ-5.8: return report of activity records grouped by major</t>
  </si>
  <si>
    <t>REQ-5.9: return report of activity records grouped by quarter</t>
  </si>
  <si>
    <t>REQ-5.10: return report of activity records grouped by month</t>
  </si>
  <si>
    <t>REQ-5.11: return report of activity records grouped by office visit reason</t>
  </si>
  <si>
    <t>REQ-5.12: return report of activity records grouped by student name</t>
  </si>
  <si>
    <t>REQ-5.13: return report of activity records grouped by company</t>
  </si>
  <si>
    <t>REQ-5.14: return report of student job activities</t>
  </si>
  <si>
    <t>REQ-5.15: return report of all matching activity records</t>
  </si>
  <si>
    <t>REQ-3.3: filter current employers with postings by start and end quarters</t>
  </si>
  <si>
    <t>REQ-3.4: filter by employers outside of the U.S</t>
  </si>
  <si>
    <t>REQ-3.5: filter employers with job postings by job types</t>
  </si>
  <si>
    <t>REQ-3.6: filter employers with job postings by location(state)</t>
  </si>
  <si>
    <t>REQ-3.7: filter employer by account manager</t>
  </si>
  <si>
    <t>REQ-3.8: filter employers with postings by major(s)</t>
  </si>
  <si>
    <t>REQ-3.9: filter employers with postings by college(s)</t>
  </si>
  <si>
    <t>REQ-3.10: return report of employers with postings (show info including contact)</t>
  </si>
  <si>
    <t>REQ-3.11: get postings of a employer</t>
  </si>
  <si>
    <t>REQ-3.12: get referrals for specific posting</t>
  </si>
  <si>
    <t>REQ-3.13: search for employer by name</t>
  </si>
  <si>
    <t>REQ-3.14: search for employer by account manager</t>
  </si>
  <si>
    <t>REQ-3.15: search for employer by contact</t>
  </si>
  <si>
    <t>REQ-3.15: filter employer by region</t>
  </si>
  <si>
    <t>REQ-3.16: filter employer by city/state</t>
  </si>
  <si>
    <t>REQ-3.17: filter employer by zip code</t>
  </si>
  <si>
    <t>REQ-3.18: provide all reports in simple XML format</t>
  </si>
  <si>
    <t>REQ-4.1: filter placements by start and end quarters</t>
  </si>
  <si>
    <t>REQ-4.2: filter by international placements</t>
  </si>
  <si>
    <t>REQ-4.3: filter placements with international students</t>
  </si>
  <si>
    <t>REQ-4.4: filter placements with international students working in home country</t>
  </si>
  <si>
    <t>REQ-4.5: filter placements with NTID students</t>
  </si>
  <si>
    <t>REQ-4.6: filter placements by location (state/region)</t>
  </si>
  <si>
    <t>REQ-4.7: filter placements by job type</t>
  </si>
  <si>
    <t>REQ-4.8: filter placements by major(s)</t>
  </si>
  <si>
    <t>REQ-4.9: filter placements by college(s)</t>
  </si>
  <si>
    <t>REQ-4.10: return report of placements from employer perspective</t>
  </si>
</sst>
</file>

<file path=xl/styles.xml><?xml version="1.0" encoding="utf-8"?>
<styleSheet xmlns="http://schemas.openxmlformats.org/spreadsheetml/2006/main">
  <numFmts count="4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/\ mmm/\ yyyy"/>
    <numFmt numFmtId="192" formatCode="d/mm/yyyy"/>
    <numFmt numFmtId="193" formatCode="[$€-2]\ #,##0.00_);[Red]\([$€-2]\ #,##0.00\)"/>
    <numFmt numFmtId="194" formatCode="[$-40B]d\.\ mmmm&quot;ta &quot;yyyy"/>
    <numFmt numFmtId="195" formatCode="d\.m\.yyyy;@"/>
    <numFmt numFmtId="196" formatCode="0.0"/>
    <numFmt numFmtId="197" formatCode="&quot;Sprint &quot;#&quot; Backlog&quot;"/>
    <numFmt numFmtId="198" formatCode="&quot;Last &quot;###&quot; sprints&quot;"/>
    <numFmt numFmtId="199" formatCode="0.0000"/>
    <numFmt numFmtId="200" formatCode="0.000"/>
    <numFmt numFmtId="201" formatCode="[$-409]dddd\,\ mmmm\ dd\,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0"/>
    </font>
    <font>
      <sz val="8"/>
      <name val="Tahoma"/>
      <family val="0"/>
    </font>
    <font>
      <sz val="4.5"/>
      <name val="Arial"/>
      <family val="0"/>
    </font>
    <font>
      <sz val="5.25"/>
      <name val="Arial"/>
      <family val="0"/>
    </font>
    <font>
      <i/>
      <sz val="10"/>
      <color indexed="12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75"/>
      <name val="Arial"/>
      <family val="0"/>
    </font>
    <font>
      <sz val="14"/>
      <name val="Verdana"/>
      <family val="2"/>
    </font>
    <font>
      <b/>
      <sz val="14"/>
      <name val="Arial"/>
      <family val="2"/>
    </font>
    <font>
      <sz val="10"/>
      <color indexed="44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right"/>
    </xf>
    <xf numFmtId="0" fontId="0" fillId="2" borderId="3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197" fontId="5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197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 horizontal="center"/>
    </xf>
    <xf numFmtId="196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196" fontId="0" fillId="0" borderId="0" xfId="0" applyNumberFormat="1" applyAlignment="1">
      <alignment/>
    </xf>
    <xf numFmtId="197" fontId="5" fillId="0" borderId="0" xfId="0" applyNumberFormat="1" applyFont="1" applyAlignment="1">
      <alignment horizontal="left" vertical="top"/>
    </xf>
    <xf numFmtId="197" fontId="5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/>
    </xf>
    <xf numFmtId="17" fontId="0" fillId="0" borderId="0" xfId="0" applyNumberFormat="1" applyAlignment="1">
      <alignment vertical="top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1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7" fontId="5" fillId="0" borderId="0" xfId="0" applyNumberFormat="1" applyFont="1" applyAlignment="1">
      <alignment horizontal="left"/>
    </xf>
    <xf numFmtId="197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98" fontId="0" fillId="0" borderId="0" xfId="0" applyNumberFormat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666699"/>
      </font>
      <border/>
    </dxf>
    <dxf>
      <font>
        <b/>
        <i val="0"/>
      </font>
      <border/>
    </dxf>
    <dxf>
      <font>
        <color rgb="FFFFFFFF"/>
      </font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 patternType="lightUp">
          <fgColor rgb="FFDD0806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Velocity and Remaining Work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075"/>
          <c:w val="0.962"/>
          <c:h val="0.92925"/>
        </c:manualLayout>
      </c:layout>
      <c:lineChart>
        <c:grouping val="standard"/>
        <c:varyColors val="0"/>
        <c:ser>
          <c:idx val="0"/>
          <c:order val="0"/>
          <c:tx>
            <c:v>Remaining Work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5"/>
          <c:order val="2"/>
          <c:tx>
            <c:v>Current bottom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[0]!PBCurrentBottom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ser>
          <c:idx val="4"/>
          <c:order val="4"/>
          <c:tx>
            <c:v>Trend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val>
            <c:numRef>
              <c:f>[0]!PBTrend</c:f>
              <c:numCache/>
            </c:numRef>
          </c:val>
          <c:smooth val="0"/>
        </c:ser>
        <c:ser>
          <c:idx val="3"/>
          <c:order val="5"/>
          <c:tx>
            <c:v>Current Scope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upDownBars>
          <c:upBars>
            <c:spPr>
              <a:solidFill>
                <a:srgbClr val="63AAFE"/>
              </a:solidFill>
            </c:spPr>
          </c:upBars>
          <c:downBars/>
        </c:upDownBars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1"/>
        <c:lblOffset val="200"/>
        <c:noMultiLvlLbl val="0"/>
      </c:catAx>
      <c:valAx>
        <c:axId val="3128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'Sprint Sheet Template'!$F$10:$AD$10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5293319"/>
        <c:axId val="3422144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7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Development Velocity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625"/>
          <c:w val="0.946"/>
          <c:h val="0.77875"/>
        </c:manualLayout>
      </c:layout>
      <c:barChart>
        <c:barDir val="col"/>
        <c:grouping val="clustered"/>
        <c:varyColors val="0"/>
        <c:ser>
          <c:idx val="4"/>
          <c:order val="0"/>
          <c:tx>
            <c:v>Planned Speed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[0]!PlannedSpeed</c:f>
              <c:numCache/>
            </c:numRef>
          </c:val>
        </c:ser>
        <c:ser>
          <c:idx val="0"/>
          <c:order val="1"/>
          <c:tx>
            <c:v>Realized Speed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[0]!RealizedSpeed</c:f>
              <c:numCache/>
            </c:numRef>
          </c:val>
        </c:ser>
        <c:gapWidth val="50"/>
        <c:axId val="4405453"/>
        <c:axId val="39649078"/>
      </c:barChart>
      <c:lineChart>
        <c:grouping val="standard"/>
        <c:varyColors val="0"/>
        <c:ser>
          <c:idx val="1"/>
          <c:order val="2"/>
          <c:tx>
            <c:v>Average Realized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[0]!AverageSpeedRealized</c:f>
              <c:numCache/>
            </c:numRef>
          </c:val>
          <c:smooth val="0"/>
        </c:ser>
        <c:ser>
          <c:idx val="2"/>
          <c:order val="3"/>
          <c:tx>
            <c:v>Avg. Last 8</c:v>
          </c:tx>
          <c:spPr>
            <a:ln w="25400">
              <a:solidFill>
                <a:srgbClr val="006411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[0]!AverageSpeedLastEight</c:f>
              <c:numCache/>
            </c:numRef>
          </c:val>
          <c:smooth val="0"/>
        </c:ser>
        <c:ser>
          <c:idx val="3"/>
          <c:order val="4"/>
          <c:tx>
            <c:v>Avg. Worst 3 in Last 8</c:v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[0]!AverageSpeedWorstThree</c:f>
              <c:numCache/>
            </c:numRef>
          </c:val>
          <c:smooth val="0"/>
        </c:ser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745"/>
          <c:w val="0.78525"/>
          <c:h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8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Sp1!$F$10:$AD$10</c:f>
              <c:numCache>
                <c:ptCount val="2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2107121"/>
        <c:axId val="66310906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Sp1!$F$11:$AD$11</c:f>
              <c:numCache>
                <c:ptCount val="2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Sp1!$F$12:$AD$12</c:f>
              <c:numCache>
                <c:ptCount val="25"/>
                <c:pt idx="0">
                  <c:v>5</c:v>
                </c:pt>
                <c:pt idx="1">
                  <c:v>1.9999999999999991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2107121"/>
        <c:axId val="66310906"/>
      </c:lineChart>
      <c:catAx>
        <c:axId val="52107121"/>
        <c:scaling>
          <c:orientation val="minMax"/>
        </c:scaling>
        <c:axPos val="b"/>
        <c:delete val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2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Sp2!$F$10:$AD$10</c:f>
              <c:numCache>
                <c:ptCount val="25"/>
                <c:pt idx="0">
                  <c:v>12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9927243"/>
        <c:axId val="2474276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Sp2!$F$11:$AD$11</c:f>
              <c:numCache>
                <c:ptCount val="25"/>
                <c:pt idx="0">
                  <c:v>12</c:v>
                </c:pt>
                <c:pt idx="1">
                  <c:v>11.076923076923077</c:v>
                </c:pt>
                <c:pt idx="2">
                  <c:v>10.153846153846153</c:v>
                </c:pt>
                <c:pt idx="3">
                  <c:v>9.23076923076923</c:v>
                </c:pt>
                <c:pt idx="4">
                  <c:v>8.307692307692307</c:v>
                </c:pt>
                <c:pt idx="5">
                  <c:v>7.384615384615384</c:v>
                </c:pt>
                <c:pt idx="6">
                  <c:v>6.461538461538462</c:v>
                </c:pt>
                <c:pt idx="7">
                  <c:v>5.538461538461538</c:v>
                </c:pt>
                <c:pt idx="8">
                  <c:v>4.615384615384615</c:v>
                </c:pt>
                <c:pt idx="9">
                  <c:v>3.6923076923076916</c:v>
                </c:pt>
                <c:pt idx="10">
                  <c:v>2.7692307692307683</c:v>
                </c:pt>
                <c:pt idx="11">
                  <c:v>1.846153846153845</c:v>
                </c:pt>
                <c:pt idx="12">
                  <c:v>0.9230769230769234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Sp2!$F$12:$AD$12</c:f>
              <c:numCache>
                <c:ptCount val="25"/>
                <c:pt idx="0">
                  <c:v>11.8</c:v>
                </c:pt>
                <c:pt idx="1">
                  <c:v>8.1</c:v>
                </c:pt>
                <c:pt idx="2">
                  <c:v>4.399999999999999</c:v>
                </c:pt>
                <c:pt idx="3">
                  <c:v>0.6999999999999993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9927243"/>
        <c:axId val="2474276"/>
      </c:lineChart>
      <c:catAx>
        <c:axId val="59927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2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Sp3!$F$10:$AD$10</c:f>
              <c:numCache>
                <c:ptCount val="25"/>
                <c:pt idx="0">
                  <c:v>20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2268485"/>
        <c:axId val="66198638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Sp3!$F$11:$AD$11</c:f>
              <c:numCache>
                <c:ptCount val="25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Sp3!$F$12:$AD$12</c:f>
              <c:numCache>
                <c:ptCount val="25"/>
                <c:pt idx="0">
                  <c:v>20</c:v>
                </c:pt>
                <c:pt idx="1">
                  <c:v>7.9999999999999964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2268485"/>
        <c:axId val="66198638"/>
      </c:lineChart>
      <c:catAx>
        <c:axId val="22268485"/>
        <c:scaling>
          <c:orientation val="minMax"/>
        </c:scaling>
        <c:axPos val="b"/>
        <c:delete val="1"/>
        <c:majorTickMark val="out"/>
        <c:minorTickMark val="none"/>
        <c:tickLblPos val="nextTo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2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Sp4!$F$10:$AD$10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8916831"/>
        <c:axId val="60489432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Sp4!$F$11:$AD$11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Sp4!$F$12:$AD$12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8916831"/>
        <c:axId val="60489432"/>
      </c:lineChart>
      <c:catAx>
        <c:axId val="58916831"/>
        <c:scaling>
          <c:orientation val="minMax"/>
        </c:scaling>
        <c:axPos val="b"/>
        <c:delete val="1"/>
        <c:majorTickMark val="out"/>
        <c:minorTickMark val="none"/>
        <c:tickLblPos val="nextTo"/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7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Sp5!$F$10:$AD$10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7533977"/>
        <c:axId val="69693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Sp5!$F$11:$AD$11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Sp5!$F$12:$AD$12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7533977"/>
        <c:axId val="696930"/>
      </c:lineChart>
      <c:catAx>
        <c:axId val="7533977"/>
        <c:scaling>
          <c:orientation val="minMax"/>
        </c:scaling>
        <c:axPos val="b"/>
        <c:delete val="1"/>
        <c:majorTickMark val="out"/>
        <c:minorTickMark val="none"/>
        <c:tickLblPos val="nextTo"/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7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Sp6!$F$10:$AD$10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272371"/>
        <c:axId val="5645134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Sp6!$F$11:$AD$11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Sp6!$F$12:$AD$12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272371"/>
        <c:axId val="56451340"/>
      </c:lineChart>
      <c:catAx>
        <c:axId val="62723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7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8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Sp7!$F$10:$AD$10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8300013"/>
        <c:axId val="9155798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Sp7!$F$11:$AD$11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Sp7!$F$12:$AD$12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1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0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7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1</xdr:row>
      <xdr:rowOff>57150</xdr:rowOff>
    </xdr:from>
    <xdr:ext cx="4486275" cy="3009900"/>
    <xdr:graphicFrame>
      <xdr:nvGraphicFramePr>
        <xdr:cNvPr id="1" name="Chart 2"/>
        <xdr:cNvGraphicFramePr/>
      </xdr:nvGraphicFramePr>
      <xdr:xfrm>
        <a:off x="3695700" y="285750"/>
        <a:ext cx="44862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180975</xdr:colOff>
      <xdr:row>20</xdr:row>
      <xdr:rowOff>57150</xdr:rowOff>
    </xdr:from>
    <xdr:to>
      <xdr:col>24</xdr:col>
      <xdr:colOff>533400</xdr:colOff>
      <xdr:row>39</xdr:row>
      <xdr:rowOff>114300</xdr:rowOff>
    </xdr:to>
    <xdr:graphicFrame>
      <xdr:nvGraphicFramePr>
        <xdr:cNvPr id="2" name="Chart 17"/>
        <xdr:cNvGraphicFramePr/>
      </xdr:nvGraphicFramePr>
      <xdr:xfrm>
        <a:off x="3705225" y="3362325"/>
        <a:ext cx="44862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4333875" y="38100"/>
        <a:ext cx="90106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4210050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Shape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Shape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09975" y="38100"/>
        <a:ext cx="90487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12"/>
  <sheetViews>
    <sheetView workbookViewId="0" topLeftCell="A1">
      <selection activeCell="E12" sqref="E12"/>
    </sheetView>
  </sheetViews>
  <sheetFormatPr defaultColWidth="11.421875" defaultRowHeight="12.75"/>
  <cols>
    <col min="1" max="1" width="7.8515625" style="0" customWidth="1"/>
    <col min="2" max="2" width="10.421875" style="0" customWidth="1"/>
    <col min="3" max="3" width="9.421875" style="0" customWidth="1"/>
    <col min="4" max="5" width="10.7109375" style="0" customWidth="1"/>
    <col min="6" max="6" width="8.8515625" style="0" customWidth="1"/>
    <col min="7" max="7" width="13.7109375" style="2" customWidth="1"/>
    <col min="8" max="8" width="51.00390625" style="0" bestFit="1" customWidth="1"/>
    <col min="9" max="9" width="10.7109375" style="0" customWidth="1"/>
    <col min="10" max="16384" width="8.8515625" style="0" customWidth="1"/>
  </cols>
  <sheetData>
    <row r="2" ht="16.5">
      <c r="A2" s="7" t="s">
        <v>76</v>
      </c>
    </row>
    <row r="4" spans="1:10" ht="12">
      <c r="A4" s="5" t="s">
        <v>75</v>
      </c>
      <c r="B4" s="34" t="s">
        <v>63</v>
      </c>
      <c r="C4" s="34" t="s">
        <v>90</v>
      </c>
      <c r="D4" s="34" t="s">
        <v>64</v>
      </c>
      <c r="E4" s="34" t="s">
        <v>78</v>
      </c>
      <c r="F4" s="6" t="s">
        <v>65</v>
      </c>
      <c r="G4" s="34" t="s">
        <v>66</v>
      </c>
      <c r="H4" s="58" t="s">
        <v>62</v>
      </c>
      <c r="I4" s="36" t="s">
        <v>91</v>
      </c>
      <c r="J4" s="1"/>
    </row>
    <row r="5" spans="1:10" ht="12">
      <c r="A5" s="14">
        <v>1</v>
      </c>
      <c r="B5" s="87">
        <v>39420</v>
      </c>
      <c r="C5" s="88">
        <v>18</v>
      </c>
      <c r="D5" s="18">
        <f>IF(AND(B5&lt;&gt;"",C5&lt;&gt;""),B5+C5-1,"")</f>
        <v>39437</v>
      </c>
      <c r="E5" s="86">
        <v>1</v>
      </c>
      <c r="F5" s="4" t="s">
        <v>131</v>
      </c>
      <c r="G5" s="84"/>
      <c r="H5" s="20" t="s">
        <v>21</v>
      </c>
      <c r="I5" s="85"/>
      <c r="J5" s="1"/>
    </row>
    <row r="6" spans="1:9" ht="12">
      <c r="A6" s="14">
        <v>2</v>
      </c>
      <c r="B6" s="87">
        <v>39453</v>
      </c>
      <c r="C6" s="19">
        <v>13</v>
      </c>
      <c r="D6" s="18">
        <f>IF(AND(B6&lt;&gt;"",C6&lt;&gt;""),B6+C6-1,"")</f>
        <v>39465</v>
      </c>
      <c r="E6" s="14">
        <f>IF(A5="","",SUMIF('Product Backlog'!E$5:E$102,'Release Plan'!A6,'Product Backlog'!D$6:D$102))</f>
        <v>16</v>
      </c>
      <c r="F6" s="4" t="s">
        <v>131</v>
      </c>
      <c r="G6" s="19"/>
      <c r="H6" s="20" t="s">
        <v>142</v>
      </c>
      <c r="I6" s="57">
        <v>1</v>
      </c>
    </row>
    <row r="7" spans="1:9" ht="12">
      <c r="A7" s="14">
        <v>3</v>
      </c>
      <c r="B7" s="18">
        <f>IF(AND(B6&lt;&gt;"",C6&lt;&gt;"",C7&lt;&gt;""),B6+C6,"")</f>
        <v>39466</v>
      </c>
      <c r="C7" s="19">
        <v>16</v>
      </c>
      <c r="D7" s="18">
        <f>IF(AND(B7&lt;&gt;"",C7&lt;&gt;""),B7+C7-1,"")</f>
        <v>39481</v>
      </c>
      <c r="E7" s="14">
        <f>IF(A6="","",SUMIF('Product Backlog'!E$5:E$102,'Release Plan'!A6,'Product Backlog'!D$5:D$102))</f>
        <v>11</v>
      </c>
      <c r="F7" s="4" t="s">
        <v>131</v>
      </c>
      <c r="G7" s="19"/>
      <c r="H7" s="21" t="s">
        <v>143</v>
      </c>
      <c r="I7" s="30">
        <v>1</v>
      </c>
    </row>
    <row r="8" spans="1:9" ht="12">
      <c r="A8" s="14">
        <v>4</v>
      </c>
      <c r="B8" s="18">
        <f>IF(AND(B7&lt;&gt;"",C7&lt;&gt;"",C8&lt;&gt;""),B7+C7,"")</f>
        <v>39482</v>
      </c>
      <c r="C8" s="19">
        <v>21</v>
      </c>
      <c r="D8" s="18">
        <f>IF(AND(B8&lt;&gt;"",C8&lt;&gt;""),B8+C8-1,"")</f>
        <v>39502</v>
      </c>
      <c r="E8" s="14">
        <f>IF(A7="","",SUMIF('Product Backlog'!E$5:E$102,'Release Plan'!A7,'Product Backlog'!D$5:D$102))</f>
        <v>13</v>
      </c>
      <c r="F8" s="4" t="s">
        <v>79</v>
      </c>
      <c r="G8" s="19"/>
      <c r="H8" s="21" t="s">
        <v>31</v>
      </c>
      <c r="I8" s="30">
        <v>1</v>
      </c>
    </row>
    <row r="9" spans="1:9" ht="12">
      <c r="A9" s="14">
        <v>5</v>
      </c>
      <c r="B9" s="18">
        <f>IF(AND(B8&lt;&gt;"",C8&lt;&gt;"",C9&lt;&gt;""),B8+C8,"")</f>
        <v>39503</v>
      </c>
      <c r="C9" s="19">
        <v>14</v>
      </c>
      <c r="D9" s="18">
        <f>IF(AND(B9&lt;&gt;"",C9&lt;&gt;""),B9+C9-1,"")</f>
        <v>39516</v>
      </c>
      <c r="E9" s="14">
        <f>IF(A8="","",SUMIF('Product Backlog'!E$5:E$102,'Release Plan'!A8,'Product Backlog'!D$5:D$102))</f>
        <v>0</v>
      </c>
      <c r="F9" s="4" t="str">
        <f>IF(AND(OR(F8="Planned",F8="Ongoing"),C9&lt;&gt;""),"Planned","Unplanned")</f>
        <v>Planned</v>
      </c>
      <c r="G9" s="19"/>
      <c r="H9" s="21" t="s">
        <v>32</v>
      </c>
      <c r="I9" s="30">
        <v>2</v>
      </c>
    </row>
    <row r="10" spans="1:9" ht="12">
      <c r="A10" s="14">
        <v>6</v>
      </c>
      <c r="B10" s="18">
        <f>IF(AND(B9&lt;&gt;"",C9&lt;&gt;"",C10&lt;&gt;""),B9+C9,"")</f>
        <v>39517</v>
      </c>
      <c r="C10" s="19">
        <v>21</v>
      </c>
      <c r="D10" s="18">
        <f>IF(AND(B10&lt;&gt;"",C10&lt;&gt;""),B10+C10-1,"")</f>
        <v>39537</v>
      </c>
      <c r="E10" s="14">
        <f>IF(A9="","",SUMIF('Product Backlog'!E$5:E$102,'Release Plan'!A9,'Product Backlog'!D$5:D$102))</f>
        <v>38</v>
      </c>
      <c r="F10" s="4" t="str">
        <f>IF(AND(OR(F9="Planned",F9="Ongoing"),C10&lt;&gt;""),"Planned","Unplanned")</f>
        <v>Planned</v>
      </c>
      <c r="G10" s="19"/>
      <c r="H10" s="21" t="s">
        <v>33</v>
      </c>
      <c r="I10" s="30">
        <v>2</v>
      </c>
    </row>
    <row r="11" spans="1:9" ht="12">
      <c r="A11" s="14">
        <v>7</v>
      </c>
      <c r="B11" s="18">
        <v>39538</v>
      </c>
      <c r="C11" s="19">
        <v>21</v>
      </c>
      <c r="D11" s="18">
        <f>IF(AND(B11&lt;&gt;"",C11&lt;&gt;""),B11+C11-1,"")</f>
        <v>39558</v>
      </c>
      <c r="E11" s="14">
        <f>IF(A9="","",SUMIF('Product Backlog'!E$5:E$102,'Release Plan'!A9,'Product Backlog'!D$5:D$102))</f>
        <v>38</v>
      </c>
      <c r="F11" s="4" t="str">
        <f>IF(AND(OR(F9="Planned",F9="Ongoing"),C11&lt;&gt;""),"Planned","Unplanned")</f>
        <v>Planned</v>
      </c>
      <c r="G11" s="19"/>
      <c r="H11" s="21" t="s">
        <v>34</v>
      </c>
      <c r="I11" s="31">
        <v>2</v>
      </c>
    </row>
    <row r="12" spans="1:8" ht="12">
      <c r="A12" s="15"/>
      <c r="B12" s="15"/>
      <c r="C12" s="15"/>
      <c r="D12" s="16" t="s">
        <v>80</v>
      </c>
      <c r="E12" s="17">
        <f>SUMIF('Product Backlog'!E$6:E$102,"",'Product Backlog'!D$6:D$102)-SUMIF('Product Backlog'!C$6:C$102,"Removed",'Product Backlog'!D$6:D$102)</f>
        <v>5</v>
      </c>
      <c r="F12" s="15"/>
      <c r="G12" s="35"/>
      <c r="H12" s="15"/>
    </row>
  </sheetData>
  <conditionalFormatting sqref="E12">
    <cfRule type="expression" priority="1" dxfId="0" stopIfTrue="1">
      <formula>$F12="Planned"</formula>
    </cfRule>
    <cfRule type="expression" priority="2" dxfId="1" stopIfTrue="1">
      <formula>$F12="Ongoing"</formula>
    </cfRule>
  </conditionalFormatting>
  <conditionalFormatting sqref="D5 B5:B11 C6:E11 G6:G11 H5:H11">
    <cfRule type="expression" priority="3" dxfId="0" stopIfTrue="1">
      <formula>OR($F5="Planned",$F5="Unplanned")</formula>
    </cfRule>
    <cfRule type="expression" priority="4" dxfId="1" stopIfTrue="1">
      <formula>$F5="Ongoing"</formula>
    </cfRule>
  </conditionalFormatting>
  <conditionalFormatting sqref="F5:F11">
    <cfRule type="expression" priority="5" dxfId="0" stopIfTrue="1">
      <formula>$F5="Planned"</formula>
    </cfRule>
    <cfRule type="expression" priority="6" dxfId="1" stopIfTrue="1">
      <formula>$F5="Ongoing"</formula>
    </cfRule>
    <cfRule type="cellIs" priority="7" dxfId="2" operator="equal" stopIfTrue="1">
      <formula>"Unplanned"</formula>
    </cfRule>
  </conditionalFormatting>
  <conditionalFormatting sqref="A11">
    <cfRule type="expression" priority="8" dxfId="0" stopIfTrue="1">
      <formula>OR(#REF!="Planned",#REF!="Unplanned")</formula>
    </cfRule>
    <cfRule type="expression" priority="9" dxfId="1" stopIfTrue="1">
      <formula>#REF!="Ongoing"</formula>
    </cfRule>
  </conditionalFormatting>
  <conditionalFormatting sqref="A5:A9">
    <cfRule type="expression" priority="10" dxfId="0" stopIfTrue="1">
      <formula>OR($F6="Planned",$F6="Unplanned")</formula>
    </cfRule>
    <cfRule type="expression" priority="11" dxfId="1" stopIfTrue="1">
      <formula>$F6="Ongoing"</formula>
    </cfRule>
  </conditionalFormatting>
  <conditionalFormatting sqref="A10">
    <cfRule type="expression" priority="12" dxfId="0" stopIfTrue="1">
      <formula>OR($F12="Planned",$F12="Unplanned")</formula>
    </cfRule>
    <cfRule type="expression" priority="13" dxfId="1" stopIfTrue="1">
      <formula>$F12="Ongoing"</formula>
    </cfRule>
  </conditionalFormatting>
  <dataValidations count="1">
    <dataValidation type="list" allowBlank="1" showInputMessage="1" showErrorMessage="1" sqref="F5:F11">
      <formula1>"Planned,Ongoing,Released,Unplanned"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3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1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29</v>
      </c>
      <c r="B9" s="27">
        <v>2</v>
      </c>
      <c r="C9" s="10"/>
      <c r="D9" s="8"/>
      <c r="E9" s="12" t="s">
        <v>71</v>
      </c>
      <c r="F9" s="12" t="s">
        <v>30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0</v>
      </c>
      <c r="F10" s="9">
        <f ca="1">IF(AND(SUM(OFFSET(F14,1,0,TaskRows,1))=0),0,SUM(OFFSET(F14,1,0,TaskRows,1)))</f>
        <v>0</v>
      </c>
      <c r="G10" s="9">
        <f aca="true" ca="1" t="shared" si="0" ref="G10:AD10">IF(AND(SUM(OFFSET(G14,1,0,TaskRows,1))=0),"",SUM(OFFSET(G14,1,0,TaskRows,1)))</f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1</v>
      </c>
      <c r="C11" t="s">
        <v>83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</c>
      <c r="I14" s="11">
        <f t="shared" si="3"/>
      </c>
      <c r="J14" s="11">
        <f t="shared" si="3"/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4:6" ht="12.75">
      <c r="D15">
        <f aca="true" t="shared" si="4" ref="D15:D59">IF(A15&lt;&gt;"","Planned","")</f>
      </c>
      <c r="F15" s="2">
        <f aca="true" t="shared" si="5" ref="F15:F59">IF(OR(F$14="",$E15=""),"",E15)</f>
      </c>
    </row>
    <row r="16" spans="4:30" ht="12.75">
      <c r="D16">
        <f t="shared" si="4"/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4:30" ht="12.75">
      <c r="D17">
        <f t="shared" si="4"/>
      </c>
      <c r="F17" s="2">
        <f t="shared" si="5"/>
      </c>
      <c r="AC17" s="2">
        <f t="shared" si="6"/>
      </c>
      <c r="AD17" s="2">
        <f t="shared" si="6"/>
      </c>
    </row>
    <row r="18" spans="4:30" ht="12.75">
      <c r="D18">
        <f t="shared" si="4"/>
      </c>
      <c r="F18" s="2">
        <f t="shared" si="5"/>
      </c>
      <c r="AC18" s="2">
        <f t="shared" si="6"/>
      </c>
      <c r="AD18" s="2">
        <f t="shared" si="6"/>
      </c>
    </row>
    <row r="19" spans="4:30" ht="12.75">
      <c r="D19">
        <f t="shared" si="4"/>
      </c>
      <c r="F19" s="2">
        <f t="shared" si="5"/>
      </c>
      <c r="AC19" s="2">
        <f t="shared" si="6"/>
      </c>
      <c r="AD19" s="2">
        <f t="shared" si="6"/>
      </c>
    </row>
    <row r="20" spans="4:30" ht="12.75">
      <c r="D20">
        <f t="shared" si="4"/>
      </c>
      <c r="F20" s="2">
        <f t="shared" si="5"/>
      </c>
      <c r="AC20" s="2">
        <f t="shared" si="6"/>
      </c>
      <c r="AD20" s="2">
        <f t="shared" si="6"/>
      </c>
    </row>
    <row r="21" spans="4:30" ht="12">
      <c r="D21">
        <f t="shared" si="4"/>
      </c>
      <c r="F21" s="2">
        <f t="shared" si="5"/>
      </c>
      <c r="AC21" s="2">
        <f t="shared" si="6"/>
      </c>
      <c r="AD21" s="2">
        <f t="shared" si="6"/>
      </c>
    </row>
    <row r="22" spans="4:30" ht="12">
      <c r="D22">
        <f t="shared" si="4"/>
      </c>
      <c r="F22" s="2">
        <f t="shared" si="5"/>
      </c>
      <c r="AC22" s="2">
        <f t="shared" si="6"/>
      </c>
      <c r="AD22" s="2">
        <f t="shared" si="6"/>
      </c>
    </row>
    <row r="23" spans="4:30" ht="12">
      <c r="D23">
        <f t="shared" si="4"/>
      </c>
      <c r="F23" s="2">
        <f t="shared" si="5"/>
      </c>
      <c r="AC23" s="2">
        <f t="shared" si="6"/>
      </c>
      <c r="AD23" s="2">
        <f t="shared" si="6"/>
      </c>
    </row>
    <row r="24" spans="4:30" ht="12">
      <c r="D24">
        <f t="shared" si="4"/>
      </c>
      <c r="F24" s="2">
        <f t="shared" si="5"/>
      </c>
      <c r="AC24" s="2">
        <f t="shared" si="6"/>
      </c>
      <c r="AD24" s="2">
        <f t="shared" si="6"/>
      </c>
    </row>
    <row r="25" spans="4:30" ht="12">
      <c r="D25">
        <f t="shared" si="4"/>
      </c>
      <c r="F25" s="2">
        <f t="shared" si="5"/>
      </c>
      <c r="AC25" s="2">
        <f t="shared" si="6"/>
      </c>
      <c r="AD25" s="2">
        <f t="shared" si="6"/>
      </c>
    </row>
    <row r="26" spans="4:30" ht="12">
      <c r="D26">
        <f t="shared" si="4"/>
      </c>
      <c r="F26" s="2">
        <f t="shared" si="5"/>
      </c>
      <c r="AC26" s="2">
        <f t="shared" si="6"/>
      </c>
      <c r="AD26" s="2">
        <f t="shared" si="6"/>
      </c>
    </row>
    <row r="27" spans="4:30" ht="12">
      <c r="D27">
        <f t="shared" si="4"/>
      </c>
      <c r="F27" s="2">
        <f t="shared" si="5"/>
      </c>
      <c r="AC27" s="2">
        <f t="shared" si="6"/>
      </c>
      <c r="AD27" s="2">
        <f t="shared" si="6"/>
      </c>
    </row>
    <row r="28" spans="4:30" ht="12">
      <c r="D28">
        <f t="shared" si="4"/>
      </c>
      <c r="F28" s="2">
        <f t="shared" si="5"/>
      </c>
      <c r="AC28" s="2">
        <f t="shared" si="6"/>
      </c>
      <c r="AD28" s="2">
        <f t="shared" si="6"/>
      </c>
    </row>
    <row r="29" spans="4:30" ht="12">
      <c r="D29">
        <f t="shared" si="4"/>
      </c>
      <c r="F29" s="2">
        <f t="shared" si="5"/>
      </c>
      <c r="AC29" s="2">
        <f t="shared" si="6"/>
      </c>
      <c r="AD29" s="2">
        <f t="shared" si="6"/>
      </c>
    </row>
    <row r="30" spans="4:30" ht="12">
      <c r="D30">
        <f t="shared" si="4"/>
      </c>
      <c r="F30" s="2">
        <f t="shared" si="5"/>
      </c>
      <c r="AC30" s="2">
        <f t="shared" si="6"/>
      </c>
      <c r="AD30" s="2">
        <f t="shared" si="6"/>
      </c>
    </row>
    <row r="31" spans="4:30" ht="12">
      <c r="D31">
        <f t="shared" si="4"/>
      </c>
      <c r="F31" s="2">
        <f t="shared" si="5"/>
      </c>
      <c r="AC31" s="2">
        <f t="shared" si="6"/>
      </c>
      <c r="AD31" s="2">
        <f t="shared" si="6"/>
      </c>
    </row>
    <row r="32" spans="4:30" ht="12">
      <c r="D32">
        <f t="shared" si="4"/>
      </c>
      <c r="F32" s="2">
        <f t="shared" si="5"/>
      </c>
      <c r="AC32" s="2">
        <f t="shared" si="6"/>
      </c>
      <c r="AD32" s="2">
        <f t="shared" si="6"/>
      </c>
    </row>
    <row r="33" spans="4:30" ht="12">
      <c r="D33">
        <f t="shared" si="4"/>
      </c>
      <c r="F33" s="2">
        <f t="shared" si="5"/>
      </c>
      <c r="AC33" s="2">
        <f t="shared" si="6"/>
      </c>
      <c r="AD33" s="2">
        <f t="shared" si="6"/>
      </c>
    </row>
    <row r="34" spans="4:30" ht="12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A19:AD58 J15:AD1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22">
        <v>1</v>
      </c>
      <c r="B1" s="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29</v>
      </c>
      <c r="B9" s="27">
        <v>2</v>
      </c>
      <c r="C9" s="10"/>
      <c r="D9" s="8"/>
      <c r="E9" s="12" t="s">
        <v>71</v>
      </c>
      <c r="F9" s="12" t="s">
        <v>30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0</v>
      </c>
      <c r="F10" s="9">
        <f ca="1">IF(AND(SUM(OFFSET(F14,1,0,TaskRows,1))=0),0,SUM(OFFSET(F14,1,0,TaskRows,1)))</f>
        <v>0</v>
      </c>
      <c r="G10" s="9">
        <f aca="true" ca="1" t="shared" si="0" ref="G10:AD10">IF(AND(SUM(OFFSET(G14,1,0,TaskRows,1))=0),"",SUM(OFFSET(G14,1,0,TaskRows,1)))</f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1</v>
      </c>
      <c r="C11" t="s">
        <v>83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</c>
      <c r="I14" s="11">
        <f t="shared" si="3"/>
      </c>
      <c r="J14" s="11">
        <f t="shared" si="3"/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4:6" ht="12.75">
      <c r="D15">
        <f aca="true" t="shared" si="4" ref="D15:D59">IF(A15&lt;&gt;"","Planned","")</f>
      </c>
      <c r="F15" s="2">
        <f aca="true" t="shared" si="5" ref="F15:F59">IF(OR(F$14="",$E15=""),"",E15)</f>
      </c>
    </row>
    <row r="16" spans="4:30" ht="12.75">
      <c r="D16">
        <f t="shared" si="4"/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4:30" ht="12.75">
      <c r="D17">
        <f t="shared" si="4"/>
      </c>
      <c r="F17" s="2">
        <f t="shared" si="5"/>
      </c>
      <c r="AC17" s="2">
        <f t="shared" si="6"/>
      </c>
      <c r="AD17" s="2">
        <f t="shared" si="6"/>
      </c>
    </row>
    <row r="18" spans="4:30" ht="12.75">
      <c r="D18">
        <f t="shared" si="4"/>
      </c>
      <c r="F18" s="2">
        <f t="shared" si="5"/>
      </c>
      <c r="AC18" s="2">
        <f t="shared" si="6"/>
      </c>
      <c r="AD18" s="2">
        <f t="shared" si="6"/>
      </c>
    </row>
    <row r="19" spans="4:30" ht="12.75">
      <c r="D19">
        <f t="shared" si="4"/>
      </c>
      <c r="F19" s="2">
        <f t="shared" si="5"/>
      </c>
      <c r="AC19" s="2">
        <f t="shared" si="6"/>
      </c>
      <c r="AD19" s="2">
        <f t="shared" si="6"/>
      </c>
    </row>
    <row r="20" spans="4:30" ht="12.75">
      <c r="D20">
        <f t="shared" si="4"/>
      </c>
      <c r="F20" s="2">
        <f t="shared" si="5"/>
      </c>
      <c r="AC20" s="2">
        <f t="shared" si="6"/>
      </c>
      <c r="AD20" s="2">
        <f t="shared" si="6"/>
      </c>
    </row>
    <row r="21" spans="4:30" ht="12">
      <c r="D21">
        <f t="shared" si="4"/>
      </c>
      <c r="F21" s="2">
        <f t="shared" si="5"/>
      </c>
      <c r="AC21" s="2">
        <f t="shared" si="6"/>
      </c>
      <c r="AD21" s="2">
        <f t="shared" si="6"/>
      </c>
    </row>
    <row r="22" spans="4:30" ht="12">
      <c r="D22">
        <f t="shared" si="4"/>
      </c>
      <c r="F22" s="2">
        <f t="shared" si="5"/>
      </c>
      <c r="AC22" s="2">
        <f t="shared" si="6"/>
      </c>
      <c r="AD22" s="2">
        <f t="shared" si="6"/>
      </c>
    </row>
    <row r="23" spans="4:30" ht="12">
      <c r="D23">
        <f t="shared" si="4"/>
      </c>
      <c r="F23" s="2">
        <f t="shared" si="5"/>
      </c>
      <c r="AC23" s="2">
        <f t="shared" si="6"/>
      </c>
      <c r="AD23" s="2">
        <f t="shared" si="6"/>
      </c>
    </row>
    <row r="24" spans="4:30" ht="12">
      <c r="D24">
        <f t="shared" si="4"/>
      </c>
      <c r="F24" s="2">
        <f t="shared" si="5"/>
      </c>
      <c r="AC24" s="2">
        <f t="shared" si="6"/>
      </c>
      <c r="AD24" s="2">
        <f t="shared" si="6"/>
      </c>
    </row>
    <row r="25" spans="4:30" ht="12">
      <c r="D25">
        <f t="shared" si="4"/>
      </c>
      <c r="F25" s="2">
        <f t="shared" si="5"/>
      </c>
      <c r="AC25" s="2">
        <f t="shared" si="6"/>
      </c>
      <c r="AD25" s="2">
        <f t="shared" si="6"/>
      </c>
    </row>
    <row r="26" spans="4:30" ht="12">
      <c r="D26">
        <f t="shared" si="4"/>
      </c>
      <c r="F26" s="2">
        <f t="shared" si="5"/>
      </c>
      <c r="AC26" s="2">
        <f t="shared" si="6"/>
      </c>
      <c r="AD26" s="2">
        <f t="shared" si="6"/>
      </c>
    </row>
    <row r="27" spans="4:30" ht="12">
      <c r="D27">
        <f t="shared" si="4"/>
      </c>
      <c r="F27" s="2">
        <f t="shared" si="5"/>
      </c>
      <c r="AC27" s="2">
        <f t="shared" si="6"/>
      </c>
      <c r="AD27" s="2">
        <f t="shared" si="6"/>
      </c>
    </row>
    <row r="28" spans="4:30" ht="12">
      <c r="D28">
        <f t="shared" si="4"/>
      </c>
      <c r="F28" s="2">
        <f t="shared" si="5"/>
      </c>
      <c r="AC28" s="2">
        <f t="shared" si="6"/>
      </c>
      <c r="AD28" s="2">
        <f t="shared" si="6"/>
      </c>
    </row>
    <row r="29" spans="4:30" ht="12">
      <c r="D29">
        <f t="shared" si="4"/>
      </c>
      <c r="F29" s="2">
        <f t="shared" si="5"/>
      </c>
      <c r="AC29" s="2">
        <f t="shared" si="6"/>
      </c>
      <c r="AD29" s="2">
        <f t="shared" si="6"/>
      </c>
    </row>
    <row r="30" spans="4:30" ht="12">
      <c r="D30">
        <f t="shared" si="4"/>
      </c>
      <c r="F30" s="2">
        <f t="shared" si="5"/>
      </c>
      <c r="AC30" s="2">
        <f t="shared" si="6"/>
      </c>
      <c r="AD30" s="2">
        <f t="shared" si="6"/>
      </c>
    </row>
    <row r="31" spans="4:30" ht="12">
      <c r="D31">
        <f t="shared" si="4"/>
      </c>
      <c r="F31" s="2">
        <f t="shared" si="5"/>
      </c>
      <c r="AC31" s="2">
        <f t="shared" si="6"/>
      </c>
      <c r="AD31" s="2">
        <f t="shared" si="6"/>
      </c>
    </row>
    <row r="32" spans="4:30" ht="12">
      <c r="D32">
        <f t="shared" si="4"/>
      </c>
      <c r="F32" s="2">
        <f t="shared" si="5"/>
      </c>
      <c r="AC32" s="2">
        <f t="shared" si="6"/>
      </c>
      <c r="AD32" s="2">
        <f t="shared" si="6"/>
      </c>
    </row>
    <row r="33" spans="4:30" ht="12">
      <c r="D33">
        <f t="shared" si="4"/>
      </c>
      <c r="F33" s="2">
        <f t="shared" si="5"/>
      </c>
      <c r="AC33" s="2">
        <f t="shared" si="6"/>
      </c>
      <c r="AD33" s="2">
        <f t="shared" si="6"/>
      </c>
    </row>
    <row r="34" spans="4:30" ht="12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A19:AD58 J15:AD1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0"/>
  <sheetViews>
    <sheetView workbookViewId="0" topLeftCell="A1">
      <selection activeCell="J6" sqref="J6"/>
    </sheetView>
  </sheetViews>
  <sheetFormatPr defaultColWidth="11.421875" defaultRowHeight="12.75"/>
  <cols>
    <col min="1" max="3" width="9.140625" style="26" customWidth="1"/>
    <col min="4" max="4" width="32.7109375" style="26" customWidth="1"/>
    <col min="5" max="5" width="9.140625" style="26" customWidth="1"/>
    <col min="6" max="6" width="32.7109375" style="26" customWidth="1"/>
    <col min="7" max="16384" width="9.140625" style="26" customWidth="1"/>
  </cols>
  <sheetData>
    <row r="1" spans="1:6" ht="12">
      <c r="A1" s="66" t="s">
        <v>57</v>
      </c>
      <c r="B1" s="82">
        <v>1</v>
      </c>
      <c r="C1" s="67" t="s">
        <v>58</v>
      </c>
      <c r="D1" s="68" t="s">
        <v>123</v>
      </c>
      <c r="E1" s="68"/>
      <c r="F1" s="69"/>
    </row>
    <row r="2" spans="1:6" ht="12">
      <c r="A2" s="70" t="s">
        <v>59</v>
      </c>
      <c r="B2" s="63" t="s">
        <v>24</v>
      </c>
      <c r="C2" s="63"/>
      <c r="D2" s="63"/>
      <c r="E2" s="63"/>
      <c r="F2" s="71"/>
    </row>
    <row r="3" spans="1:6" ht="12">
      <c r="A3" s="72"/>
      <c r="B3" s="64"/>
      <c r="C3" s="64"/>
      <c r="D3" s="64"/>
      <c r="E3" s="64"/>
      <c r="F3" s="73"/>
    </row>
    <row r="4" spans="1:6" ht="12">
      <c r="A4" s="74"/>
      <c r="B4" s="65"/>
      <c r="C4" s="65"/>
      <c r="D4" s="65"/>
      <c r="E4" s="65"/>
      <c r="F4" s="75"/>
    </row>
    <row r="5" spans="1:6" ht="12">
      <c r="A5" s="80" t="str">
        <f>CONCATENATE("Responsible Person: ",Sp1!C15)</f>
        <v>Responsible Person: Team</v>
      </c>
      <c r="B5" s="62"/>
      <c r="C5" s="62"/>
      <c r="D5" s="62"/>
      <c r="E5" s="62"/>
      <c r="F5" s="81"/>
    </row>
    <row r="6" spans="1:6" ht="24.75" thickBot="1">
      <c r="A6" s="76" t="s">
        <v>56</v>
      </c>
      <c r="B6" s="83">
        <v>5</v>
      </c>
      <c r="C6" s="78" t="s">
        <v>61</v>
      </c>
      <c r="D6" s="77"/>
      <c r="E6" s="78" t="s">
        <v>60</v>
      </c>
      <c r="F6" s="79"/>
    </row>
    <row r="8" ht="12.75" thickBot="1"/>
    <row r="9" spans="1:6" ht="12">
      <c r="A9" s="66" t="s">
        <v>57</v>
      </c>
      <c r="B9" s="82">
        <v>1</v>
      </c>
      <c r="C9" s="67" t="s">
        <v>58</v>
      </c>
      <c r="D9" s="68" t="s">
        <v>123</v>
      </c>
      <c r="E9" s="68"/>
      <c r="F9" s="69"/>
    </row>
    <row r="10" spans="1:6" ht="12">
      <c r="A10" s="70" t="s">
        <v>59</v>
      </c>
      <c r="B10" s="63" t="s">
        <v>25</v>
      </c>
      <c r="C10" s="63"/>
      <c r="D10" s="63"/>
      <c r="E10" s="63"/>
      <c r="F10" s="71"/>
    </row>
    <row r="11" spans="1:6" ht="12">
      <c r="A11" s="72"/>
      <c r="B11" s="64"/>
      <c r="C11" s="64"/>
      <c r="D11" s="64"/>
      <c r="E11" s="64"/>
      <c r="F11" s="73"/>
    </row>
    <row r="12" spans="1:6" ht="12">
      <c r="A12" s="74"/>
      <c r="B12" s="65"/>
      <c r="C12" s="65"/>
      <c r="D12" s="65"/>
      <c r="E12" s="65"/>
      <c r="F12" s="75"/>
    </row>
    <row r="13" spans="1:6" ht="12">
      <c r="A13" s="80" t="str">
        <f>CONCATENATE("Responsible Person: ",Sp1!C16)</f>
        <v>Responsible Person: </v>
      </c>
      <c r="B13" s="62"/>
      <c r="C13" s="62"/>
      <c r="D13" s="62"/>
      <c r="E13" s="62"/>
      <c r="F13" s="81"/>
    </row>
    <row r="14" spans="1:6" ht="24.75" thickBot="1">
      <c r="A14" s="76" t="s">
        <v>56</v>
      </c>
      <c r="B14" s="83">
        <v>7</v>
      </c>
      <c r="C14" s="78" t="s">
        <v>61</v>
      </c>
      <c r="D14" s="77"/>
      <c r="E14" s="78" t="s">
        <v>60</v>
      </c>
      <c r="F14" s="79"/>
    </row>
    <row r="16" ht="12.75" thickBot="1"/>
    <row r="17" spans="1:6" ht="12">
      <c r="A17" s="66" t="s">
        <v>57</v>
      </c>
      <c r="B17" s="82">
        <v>2</v>
      </c>
      <c r="C17" s="67" t="s">
        <v>58</v>
      </c>
      <c r="D17" s="68" t="s">
        <v>124</v>
      </c>
      <c r="E17" s="68"/>
      <c r="F17" s="69"/>
    </row>
    <row r="18" spans="1:6" ht="12">
      <c r="A18" s="70" t="s">
        <v>59</v>
      </c>
      <c r="B18" s="63" t="s">
        <v>121</v>
      </c>
      <c r="C18" s="63"/>
      <c r="D18" s="63"/>
      <c r="E18" s="63"/>
      <c r="F18" s="71"/>
    </row>
    <row r="19" spans="1:6" ht="12">
      <c r="A19" s="72"/>
      <c r="B19" s="64"/>
      <c r="C19" s="64"/>
      <c r="D19" s="64"/>
      <c r="E19" s="64"/>
      <c r="F19" s="73"/>
    </row>
    <row r="20" spans="1:6" ht="12">
      <c r="A20" s="74"/>
      <c r="B20" s="65"/>
      <c r="C20" s="65"/>
      <c r="D20" s="65"/>
      <c r="E20" s="65"/>
      <c r="F20" s="75"/>
    </row>
    <row r="21" spans="1:6" ht="12">
      <c r="A21" s="80" t="str">
        <f>CONCATENATE("Responsible Person: ",Sp1!C17)</f>
        <v>Responsible Person: </v>
      </c>
      <c r="B21" s="62"/>
      <c r="C21" s="62"/>
      <c r="D21" s="62"/>
      <c r="E21" s="62"/>
      <c r="F21" s="81"/>
    </row>
    <row r="22" spans="1:6" ht="24.75" thickBot="1">
      <c r="A22" s="76" t="s">
        <v>56</v>
      </c>
      <c r="B22" s="83">
        <v>12</v>
      </c>
      <c r="C22" s="78" t="s">
        <v>61</v>
      </c>
      <c r="D22" s="77"/>
      <c r="E22" s="78" t="s">
        <v>60</v>
      </c>
      <c r="F22" s="79"/>
    </row>
    <row r="24" ht="12.75" thickBot="1"/>
    <row r="25" spans="1:6" ht="12">
      <c r="A25" s="66" t="s">
        <v>57</v>
      </c>
      <c r="B25" s="82">
        <v>2</v>
      </c>
      <c r="C25" s="67" t="s">
        <v>58</v>
      </c>
      <c r="D25" s="68" t="s">
        <v>124</v>
      </c>
      <c r="E25" s="68"/>
      <c r="F25" s="69"/>
    </row>
    <row r="26" spans="1:6" ht="12">
      <c r="A26" s="70" t="s">
        <v>59</v>
      </c>
      <c r="B26" s="63" t="s">
        <v>122</v>
      </c>
      <c r="C26" s="63"/>
      <c r="D26" s="63"/>
      <c r="E26" s="63"/>
      <c r="F26" s="71"/>
    </row>
    <row r="27" spans="1:6" ht="12">
      <c r="A27" s="72"/>
      <c r="B27" s="64"/>
      <c r="C27" s="64"/>
      <c r="D27" s="64"/>
      <c r="E27" s="64"/>
      <c r="F27" s="73"/>
    </row>
    <row r="28" spans="1:6" ht="12">
      <c r="A28" s="74"/>
      <c r="B28" s="65"/>
      <c r="C28" s="65"/>
      <c r="D28" s="65"/>
      <c r="E28" s="65"/>
      <c r="F28" s="75"/>
    </row>
    <row r="29" spans="1:6" ht="12">
      <c r="A29" s="80" t="str">
        <f>CONCATENATE("Responsible Person: ",Sp1!C18)</f>
        <v>Responsible Person: </v>
      </c>
      <c r="B29" s="62"/>
      <c r="C29" s="62"/>
      <c r="D29" s="62"/>
      <c r="E29" s="62"/>
      <c r="F29" s="81"/>
    </row>
    <row r="30" spans="1:6" ht="24.75" thickBot="1">
      <c r="A30" s="76" t="s">
        <v>56</v>
      </c>
      <c r="B30" s="83">
        <v>9</v>
      </c>
      <c r="C30" s="78" t="s">
        <v>61</v>
      </c>
      <c r="D30" s="77"/>
      <c r="E30" s="78" t="s">
        <v>60</v>
      </c>
      <c r="F30" s="79"/>
    </row>
  </sheetData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81"/>
  <sheetViews>
    <sheetView workbookViewId="0" topLeftCell="A1">
      <pane ySplit="4" topLeftCell="A49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1" width="9.140625" style="25" customWidth="1"/>
    <col min="2" max="2" width="65.421875" style="23" bestFit="1" customWidth="1"/>
    <col min="3" max="3" width="10.8515625" style="25" customWidth="1"/>
    <col min="4" max="6" width="9.140625" style="25" customWidth="1"/>
    <col min="7" max="7" width="39.421875" style="23" customWidth="1"/>
    <col min="8" max="16384" width="9.140625" style="26" customWidth="1"/>
  </cols>
  <sheetData>
    <row r="1" spans="1:3" ht="18">
      <c r="A1" s="37" t="s">
        <v>67</v>
      </c>
      <c r="C1" s="24" t="s">
        <v>22</v>
      </c>
    </row>
    <row r="2" ht="12.75">
      <c r="D2" s="61"/>
    </row>
    <row r="3" ht="12.75"/>
    <row r="4" spans="1:7" ht="13.5" thickBot="1">
      <c r="A4" s="32" t="s">
        <v>81</v>
      </c>
      <c r="B4" s="33" t="s">
        <v>68</v>
      </c>
      <c r="C4" s="32" t="s">
        <v>65</v>
      </c>
      <c r="D4" s="32" t="s">
        <v>78</v>
      </c>
      <c r="E4" s="32" t="s">
        <v>75</v>
      </c>
      <c r="F4" s="32" t="s">
        <v>20</v>
      </c>
      <c r="G4" s="33" t="s">
        <v>88</v>
      </c>
    </row>
    <row r="5" spans="1:5" ht="12.75">
      <c r="A5" s="25">
        <v>1</v>
      </c>
      <c r="B5" s="23" t="s">
        <v>126</v>
      </c>
      <c r="C5" s="25" t="s">
        <v>23</v>
      </c>
      <c r="D5" s="25">
        <v>3</v>
      </c>
      <c r="E5" s="25">
        <v>2</v>
      </c>
    </row>
    <row r="6" spans="1:5" ht="12.75">
      <c r="A6" s="25">
        <v>2</v>
      </c>
      <c r="B6" s="23" t="s">
        <v>127</v>
      </c>
      <c r="C6" s="25" t="s">
        <v>26</v>
      </c>
      <c r="D6" s="25">
        <v>5</v>
      </c>
      <c r="E6" s="25">
        <v>2</v>
      </c>
    </row>
    <row r="7" spans="1:5" ht="12.75">
      <c r="A7" s="25">
        <v>3</v>
      </c>
      <c r="B7" s="23" t="s">
        <v>128</v>
      </c>
      <c r="C7" s="25" t="s">
        <v>26</v>
      </c>
      <c r="D7" s="25">
        <v>3</v>
      </c>
      <c r="E7" s="25">
        <v>2</v>
      </c>
    </row>
    <row r="8" spans="1:7" ht="25.5">
      <c r="A8" s="25">
        <v>4</v>
      </c>
      <c r="B8" s="23" t="s">
        <v>129</v>
      </c>
      <c r="C8" s="25" t="s">
        <v>26</v>
      </c>
      <c r="D8" s="25">
        <v>8</v>
      </c>
      <c r="E8" s="25">
        <v>3</v>
      </c>
      <c r="G8" s="23" t="s">
        <v>130</v>
      </c>
    </row>
    <row r="9" spans="1:5" ht="12.75">
      <c r="A9" s="25">
        <v>5</v>
      </c>
      <c r="B9" s="23" t="s">
        <v>137</v>
      </c>
      <c r="C9" s="25" t="s">
        <v>26</v>
      </c>
      <c r="D9" s="25">
        <v>5</v>
      </c>
      <c r="E9" s="25">
        <v>3</v>
      </c>
    </row>
    <row r="10" spans="1:5" ht="26.25" customHeight="1">
      <c r="A10" s="25">
        <v>6</v>
      </c>
      <c r="B10" s="23" t="s">
        <v>145</v>
      </c>
      <c r="C10" s="25" t="s">
        <v>23</v>
      </c>
      <c r="D10" s="25">
        <v>10</v>
      </c>
      <c r="E10" s="25">
        <v>1</v>
      </c>
    </row>
    <row r="11" spans="1:5" ht="12.75">
      <c r="A11" s="25">
        <v>7</v>
      </c>
      <c r="B11" s="23" t="s">
        <v>147</v>
      </c>
      <c r="C11" s="25" t="s">
        <v>26</v>
      </c>
      <c r="D11" s="25">
        <v>10</v>
      </c>
      <c r="E11" s="25">
        <v>1</v>
      </c>
    </row>
    <row r="12" spans="1:4" ht="12.75">
      <c r="A12" s="25">
        <v>8</v>
      </c>
      <c r="B12" s="23" t="s">
        <v>148</v>
      </c>
      <c r="C12" s="25" t="s">
        <v>26</v>
      </c>
      <c r="D12" s="25">
        <v>5</v>
      </c>
    </row>
    <row r="13" spans="1:5" ht="12.75">
      <c r="A13" s="25">
        <v>9</v>
      </c>
      <c r="B13" s="23" t="s">
        <v>149</v>
      </c>
      <c r="C13" s="25" t="s">
        <v>79</v>
      </c>
      <c r="D13" s="25">
        <v>2</v>
      </c>
      <c r="E13" s="25">
        <v>5</v>
      </c>
    </row>
    <row r="14" spans="1:5" ht="12.75">
      <c r="A14" s="25">
        <v>10</v>
      </c>
      <c r="B14" s="23" t="s">
        <v>150</v>
      </c>
      <c r="C14" s="25" t="s">
        <v>79</v>
      </c>
      <c r="D14" s="25">
        <v>2</v>
      </c>
      <c r="E14" s="25">
        <v>5</v>
      </c>
    </row>
    <row r="15" spans="1:5" ht="12">
      <c r="A15" s="25">
        <v>11</v>
      </c>
      <c r="B15" s="23" t="s">
        <v>151</v>
      </c>
      <c r="C15" s="25" t="s">
        <v>79</v>
      </c>
      <c r="D15" s="25">
        <v>2</v>
      </c>
      <c r="E15" s="25">
        <v>5</v>
      </c>
    </row>
    <row r="16" spans="1:5" ht="12">
      <c r="A16" s="25">
        <v>12</v>
      </c>
      <c r="B16" s="23" t="s">
        <v>152</v>
      </c>
      <c r="C16" s="25" t="s">
        <v>79</v>
      </c>
      <c r="D16" s="25">
        <v>2</v>
      </c>
      <c r="E16" s="25">
        <v>5</v>
      </c>
    </row>
    <row r="17" spans="1:5" ht="12">
      <c r="A17" s="25">
        <v>13</v>
      </c>
      <c r="B17" s="23" t="s">
        <v>153</v>
      </c>
      <c r="C17" s="25" t="s">
        <v>79</v>
      </c>
      <c r="D17" s="25">
        <v>2</v>
      </c>
      <c r="E17" s="25">
        <v>5</v>
      </c>
    </row>
    <row r="18" spans="1:5" ht="12">
      <c r="A18" s="25">
        <v>14</v>
      </c>
      <c r="B18" s="23" t="s">
        <v>154</v>
      </c>
      <c r="C18" s="25" t="s">
        <v>79</v>
      </c>
      <c r="D18" s="25">
        <v>2</v>
      </c>
      <c r="E18" s="25">
        <v>5</v>
      </c>
    </row>
    <row r="19" spans="1:5" ht="12">
      <c r="A19" s="25">
        <v>15</v>
      </c>
      <c r="B19" s="23" t="s">
        <v>155</v>
      </c>
      <c r="C19" s="25" t="s">
        <v>79</v>
      </c>
      <c r="D19" s="25">
        <v>2</v>
      </c>
      <c r="E19" s="25">
        <v>5</v>
      </c>
    </row>
    <row r="20" spans="1:5" ht="12">
      <c r="A20" s="25">
        <v>16</v>
      </c>
      <c r="B20" s="23" t="s">
        <v>156</v>
      </c>
      <c r="C20" s="25" t="s">
        <v>79</v>
      </c>
      <c r="D20" s="25">
        <v>2</v>
      </c>
      <c r="E20" s="25">
        <v>5</v>
      </c>
    </row>
    <row r="21" spans="1:5" ht="12">
      <c r="A21" s="25">
        <v>17</v>
      </c>
      <c r="B21" s="23" t="s">
        <v>157</v>
      </c>
      <c r="C21" s="25" t="s">
        <v>79</v>
      </c>
      <c r="D21" s="25">
        <v>2</v>
      </c>
      <c r="E21" s="25">
        <v>5</v>
      </c>
    </row>
    <row r="22" spans="1:5" ht="12">
      <c r="A22" s="25">
        <v>18</v>
      </c>
      <c r="B22" s="23" t="s">
        <v>158</v>
      </c>
      <c r="C22" s="25" t="s">
        <v>79</v>
      </c>
      <c r="D22" s="25">
        <v>2</v>
      </c>
      <c r="E22" s="25">
        <v>5</v>
      </c>
    </row>
    <row r="23" spans="1:5" ht="12">
      <c r="A23" s="25">
        <v>19</v>
      </c>
      <c r="B23" s="23" t="s">
        <v>159</v>
      </c>
      <c r="C23" s="25" t="s">
        <v>79</v>
      </c>
      <c r="D23" s="25">
        <v>2</v>
      </c>
      <c r="E23" s="25">
        <v>5</v>
      </c>
    </row>
    <row r="24" spans="1:5" ht="12">
      <c r="A24" s="25">
        <v>20</v>
      </c>
      <c r="B24" s="23" t="s">
        <v>160</v>
      </c>
      <c r="C24" s="25" t="s">
        <v>79</v>
      </c>
      <c r="D24" s="25">
        <v>2</v>
      </c>
      <c r="E24" s="25">
        <v>5</v>
      </c>
    </row>
    <row r="25" spans="1:5" ht="12">
      <c r="A25" s="25">
        <v>21</v>
      </c>
      <c r="B25" s="23" t="s">
        <v>161</v>
      </c>
      <c r="C25" s="25" t="s">
        <v>79</v>
      </c>
      <c r="D25" s="25">
        <v>2</v>
      </c>
      <c r="E25" s="25">
        <v>5</v>
      </c>
    </row>
    <row r="26" spans="1:5" ht="12">
      <c r="A26" s="25">
        <v>22</v>
      </c>
      <c r="B26" s="23" t="s">
        <v>162</v>
      </c>
      <c r="C26" s="25" t="s">
        <v>79</v>
      </c>
      <c r="D26" s="25">
        <v>2</v>
      </c>
      <c r="E26" s="25">
        <v>5</v>
      </c>
    </row>
    <row r="27" spans="1:5" ht="12">
      <c r="A27" s="25">
        <v>23</v>
      </c>
      <c r="B27" s="23" t="s">
        <v>163</v>
      </c>
      <c r="C27" s="25" t="s">
        <v>79</v>
      </c>
      <c r="D27" s="25">
        <v>2</v>
      </c>
      <c r="E27" s="25">
        <v>5</v>
      </c>
    </row>
    <row r="28" spans="1:5" ht="12">
      <c r="A28" s="25">
        <v>24</v>
      </c>
      <c r="B28" s="26" t="s">
        <v>37</v>
      </c>
      <c r="C28" s="25" t="s">
        <v>79</v>
      </c>
      <c r="D28" s="25">
        <v>2</v>
      </c>
      <c r="E28" s="25">
        <v>5</v>
      </c>
    </row>
    <row r="29" spans="1:5" ht="12">
      <c r="A29" s="25">
        <v>25</v>
      </c>
      <c r="B29" s="23" t="s">
        <v>38</v>
      </c>
      <c r="C29" s="25" t="s">
        <v>79</v>
      </c>
      <c r="D29" s="25">
        <v>2</v>
      </c>
      <c r="E29" s="25">
        <v>5</v>
      </c>
    </row>
    <row r="30" spans="1:5" ht="12">
      <c r="A30" s="25">
        <v>26</v>
      </c>
      <c r="B30" s="23" t="s">
        <v>39</v>
      </c>
      <c r="C30" s="25" t="s">
        <v>79</v>
      </c>
      <c r="D30" s="25">
        <v>2</v>
      </c>
      <c r="E30" s="25">
        <v>5</v>
      </c>
    </row>
    <row r="31" spans="1:5" ht="12">
      <c r="A31" s="25">
        <v>27</v>
      </c>
      <c r="B31" s="23" t="s">
        <v>40</v>
      </c>
      <c r="C31" s="25" t="s">
        <v>79</v>
      </c>
      <c r="D31" s="25">
        <v>2</v>
      </c>
      <c r="E31" s="25">
        <v>5</v>
      </c>
    </row>
    <row r="32" spans="1:5" ht="12">
      <c r="A32" s="25">
        <v>28</v>
      </c>
      <c r="B32" s="23" t="s">
        <v>41</v>
      </c>
      <c r="C32" s="25" t="s">
        <v>79</v>
      </c>
      <c r="D32" s="25">
        <v>2</v>
      </c>
      <c r="E32" s="25">
        <v>6</v>
      </c>
    </row>
    <row r="33" spans="1:5" ht="12">
      <c r="A33" s="25">
        <v>29</v>
      </c>
      <c r="B33" s="23" t="s">
        <v>42</v>
      </c>
      <c r="C33" s="25" t="s">
        <v>79</v>
      </c>
      <c r="D33" s="25">
        <v>2</v>
      </c>
      <c r="E33" s="25">
        <v>6</v>
      </c>
    </row>
    <row r="34" spans="1:5" ht="12">
      <c r="A34" s="25">
        <v>30</v>
      </c>
      <c r="B34" s="23" t="s">
        <v>43</v>
      </c>
      <c r="C34" s="25" t="s">
        <v>79</v>
      </c>
      <c r="D34" s="25">
        <v>2</v>
      </c>
      <c r="E34" s="25">
        <v>6</v>
      </c>
    </row>
    <row r="35" spans="1:5" ht="12">
      <c r="A35" s="25">
        <v>31</v>
      </c>
      <c r="B35" s="23" t="s">
        <v>44</v>
      </c>
      <c r="C35" s="25" t="s">
        <v>79</v>
      </c>
      <c r="D35" s="25">
        <v>2</v>
      </c>
      <c r="E35" s="25">
        <v>6</v>
      </c>
    </row>
    <row r="36" spans="1:10" ht="12">
      <c r="A36" s="25">
        <v>32</v>
      </c>
      <c r="B36" s="23" t="s">
        <v>45</v>
      </c>
      <c r="C36" s="25" t="s">
        <v>79</v>
      </c>
      <c r="D36" s="25">
        <v>2</v>
      </c>
      <c r="E36" s="25">
        <v>6</v>
      </c>
      <c r="J36" s="59"/>
    </row>
    <row r="37" spans="1:5" ht="12">
      <c r="A37" s="25">
        <v>33</v>
      </c>
      <c r="B37" s="23" t="s">
        <v>46</v>
      </c>
      <c r="C37" s="25" t="s">
        <v>79</v>
      </c>
      <c r="D37" s="25">
        <v>2</v>
      </c>
      <c r="E37" s="25">
        <v>6</v>
      </c>
    </row>
    <row r="38" spans="1:5" ht="12">
      <c r="A38" s="25">
        <v>34</v>
      </c>
      <c r="B38" s="23" t="s">
        <v>172</v>
      </c>
      <c r="C38" s="25" t="s">
        <v>79</v>
      </c>
      <c r="D38" s="25">
        <v>2</v>
      </c>
      <c r="E38" s="25">
        <v>6</v>
      </c>
    </row>
    <row r="39" spans="1:5" ht="12">
      <c r="A39" s="25">
        <v>35</v>
      </c>
      <c r="B39" s="23" t="s">
        <v>173</v>
      </c>
      <c r="C39" s="25" t="s">
        <v>79</v>
      </c>
      <c r="D39" s="25">
        <v>2</v>
      </c>
      <c r="E39" s="25">
        <v>6</v>
      </c>
    </row>
    <row r="40" spans="1:5" ht="12">
      <c r="A40" s="25">
        <v>36</v>
      </c>
      <c r="B40" s="23" t="s">
        <v>174</v>
      </c>
      <c r="C40" s="25" t="s">
        <v>79</v>
      </c>
      <c r="D40" s="25">
        <v>2</v>
      </c>
      <c r="E40" s="25">
        <v>6</v>
      </c>
    </row>
    <row r="41" spans="1:7" ht="12">
      <c r="A41" s="25">
        <v>37</v>
      </c>
      <c r="B41" s="23" t="s">
        <v>175</v>
      </c>
      <c r="C41" s="25" t="s">
        <v>79</v>
      </c>
      <c r="D41" s="25">
        <v>2</v>
      </c>
      <c r="E41" s="25">
        <v>6</v>
      </c>
      <c r="G41" s="60"/>
    </row>
    <row r="42" spans="1:5" ht="12">
      <c r="A42" s="25">
        <v>38</v>
      </c>
      <c r="B42" s="23" t="s">
        <v>176</v>
      </c>
      <c r="C42" s="25" t="s">
        <v>79</v>
      </c>
      <c r="D42" s="25">
        <v>2</v>
      </c>
      <c r="E42" s="25">
        <v>6</v>
      </c>
    </row>
    <row r="43" spans="1:5" ht="12">
      <c r="A43" s="25">
        <v>39</v>
      </c>
      <c r="B43" s="23" t="s">
        <v>177</v>
      </c>
      <c r="C43" s="25" t="s">
        <v>79</v>
      </c>
      <c r="D43" s="25">
        <v>2</v>
      </c>
      <c r="E43" s="25">
        <v>6</v>
      </c>
    </row>
    <row r="44" spans="1:5" ht="12">
      <c r="A44" s="25">
        <v>40</v>
      </c>
      <c r="B44" s="23" t="s">
        <v>178</v>
      </c>
      <c r="C44" s="25" t="s">
        <v>79</v>
      </c>
      <c r="D44" s="25">
        <v>2</v>
      </c>
      <c r="E44" s="25">
        <v>6</v>
      </c>
    </row>
    <row r="45" spans="1:5" ht="12">
      <c r="A45" s="25">
        <v>41</v>
      </c>
      <c r="B45" s="23" t="s">
        <v>179</v>
      </c>
      <c r="C45" s="25" t="s">
        <v>79</v>
      </c>
      <c r="D45" s="25">
        <v>2</v>
      </c>
      <c r="E45" s="25">
        <v>6</v>
      </c>
    </row>
    <row r="46" spans="1:5" ht="12">
      <c r="A46" s="25">
        <v>42</v>
      </c>
      <c r="B46" s="23" t="s">
        <v>180</v>
      </c>
      <c r="C46" s="25" t="s">
        <v>79</v>
      </c>
      <c r="D46" s="25">
        <v>2</v>
      </c>
      <c r="E46" s="25">
        <v>6</v>
      </c>
    </row>
    <row r="47" spans="1:5" ht="12">
      <c r="A47" s="25">
        <v>43</v>
      </c>
      <c r="B47" s="23" t="s">
        <v>181</v>
      </c>
      <c r="C47" s="25" t="s">
        <v>79</v>
      </c>
      <c r="D47" s="25">
        <v>2</v>
      </c>
      <c r="E47" s="25">
        <v>6</v>
      </c>
    </row>
    <row r="48" spans="1:5" ht="12">
      <c r="A48" s="25">
        <v>44</v>
      </c>
      <c r="B48" s="23" t="s">
        <v>182</v>
      </c>
      <c r="C48" s="25" t="s">
        <v>79</v>
      </c>
      <c r="D48" s="25">
        <v>2</v>
      </c>
      <c r="E48" s="25">
        <v>6</v>
      </c>
    </row>
    <row r="49" spans="1:5" ht="12">
      <c r="A49" s="25">
        <v>45</v>
      </c>
      <c r="B49" s="23" t="s">
        <v>183</v>
      </c>
      <c r="C49" s="25" t="s">
        <v>79</v>
      </c>
      <c r="D49" s="25">
        <v>2</v>
      </c>
      <c r="E49" s="25">
        <v>6</v>
      </c>
    </row>
    <row r="50" spans="1:5" ht="12">
      <c r="A50" s="25">
        <v>46</v>
      </c>
      <c r="B50" s="23" t="s">
        <v>184</v>
      </c>
      <c r="C50" s="25" t="s">
        <v>79</v>
      </c>
      <c r="D50" s="25">
        <v>2</v>
      </c>
      <c r="E50" s="25">
        <v>6</v>
      </c>
    </row>
    <row r="51" spans="1:5" ht="12">
      <c r="A51" s="25">
        <v>47</v>
      </c>
      <c r="B51" s="23" t="s">
        <v>185</v>
      </c>
      <c r="C51" s="25" t="s">
        <v>79</v>
      </c>
      <c r="D51" s="25">
        <v>2</v>
      </c>
      <c r="E51" s="25">
        <v>6</v>
      </c>
    </row>
    <row r="52" spans="1:6" ht="12">
      <c r="A52" s="25">
        <v>48</v>
      </c>
      <c r="B52" s="26" t="s">
        <v>186</v>
      </c>
      <c r="C52" s="25" t="s">
        <v>79</v>
      </c>
      <c r="D52" s="25">
        <v>2</v>
      </c>
      <c r="E52" s="25">
        <v>6</v>
      </c>
      <c r="F52" s="26"/>
    </row>
    <row r="53" spans="1:5" ht="12">
      <c r="A53" s="25">
        <v>49</v>
      </c>
      <c r="B53" s="23" t="s">
        <v>187</v>
      </c>
      <c r="C53" s="25" t="s">
        <v>79</v>
      </c>
      <c r="D53" s="25">
        <v>2</v>
      </c>
      <c r="E53" s="25">
        <v>6</v>
      </c>
    </row>
    <row r="54" spans="1:5" ht="12">
      <c r="A54" s="25">
        <v>50</v>
      </c>
      <c r="B54" s="23" t="s">
        <v>188</v>
      </c>
      <c r="C54" s="25" t="s">
        <v>79</v>
      </c>
      <c r="D54" s="25">
        <v>2</v>
      </c>
      <c r="E54" s="25">
        <v>6</v>
      </c>
    </row>
    <row r="55" spans="1:5" ht="12">
      <c r="A55" s="25">
        <v>51</v>
      </c>
      <c r="B55" s="23" t="s">
        <v>189</v>
      </c>
      <c r="C55" s="25" t="s">
        <v>79</v>
      </c>
      <c r="D55" s="25">
        <v>2</v>
      </c>
      <c r="E55" s="25">
        <v>6</v>
      </c>
    </row>
    <row r="56" spans="1:5" ht="12">
      <c r="A56" s="25">
        <v>52</v>
      </c>
      <c r="B56" s="23" t="s">
        <v>190</v>
      </c>
      <c r="C56" s="25" t="s">
        <v>79</v>
      </c>
      <c r="D56" s="25">
        <v>2</v>
      </c>
      <c r="E56" s="25">
        <v>6</v>
      </c>
    </row>
    <row r="57" spans="1:5" ht="12">
      <c r="A57" s="25">
        <v>53</v>
      </c>
      <c r="B57" s="23" t="s">
        <v>191</v>
      </c>
      <c r="C57" s="25" t="s">
        <v>79</v>
      </c>
      <c r="D57" s="25">
        <v>2</v>
      </c>
      <c r="E57" s="25">
        <v>6</v>
      </c>
    </row>
    <row r="58" spans="1:5" ht="12">
      <c r="A58" s="25">
        <v>54</v>
      </c>
      <c r="B58" s="23" t="s">
        <v>192</v>
      </c>
      <c r="C58" s="25" t="s">
        <v>79</v>
      </c>
      <c r="D58" s="25">
        <v>2</v>
      </c>
      <c r="E58" s="25">
        <v>6</v>
      </c>
    </row>
    <row r="59" spans="1:5" ht="12">
      <c r="A59" s="25">
        <v>55</v>
      </c>
      <c r="B59" s="23" t="s">
        <v>193</v>
      </c>
      <c r="C59" s="25" t="s">
        <v>79</v>
      </c>
      <c r="D59" s="25">
        <v>2</v>
      </c>
      <c r="E59" s="25">
        <v>6</v>
      </c>
    </row>
    <row r="60" spans="1:5" ht="12">
      <c r="A60" s="25">
        <v>56</v>
      </c>
      <c r="B60" s="23" t="s">
        <v>194</v>
      </c>
      <c r="C60" s="25" t="s">
        <v>79</v>
      </c>
      <c r="D60" s="25">
        <v>2</v>
      </c>
      <c r="E60" s="25">
        <v>6</v>
      </c>
    </row>
    <row r="61" spans="1:5" ht="12">
      <c r="A61" s="25">
        <v>57</v>
      </c>
      <c r="B61" s="23" t="s">
        <v>195</v>
      </c>
      <c r="C61" s="25" t="s">
        <v>79</v>
      </c>
      <c r="D61" s="25">
        <v>2</v>
      </c>
      <c r="E61" s="25">
        <v>6</v>
      </c>
    </row>
    <row r="62" spans="1:5" ht="12">
      <c r="A62" s="25">
        <v>58</v>
      </c>
      <c r="B62" s="23" t="s">
        <v>196</v>
      </c>
      <c r="C62" s="25" t="s">
        <v>79</v>
      </c>
      <c r="D62" s="25">
        <v>2</v>
      </c>
      <c r="E62" s="25">
        <v>6</v>
      </c>
    </row>
    <row r="63" spans="1:5" ht="12">
      <c r="A63" s="25">
        <v>59</v>
      </c>
      <c r="B63" s="23" t="s">
        <v>197</v>
      </c>
      <c r="C63" s="25" t="s">
        <v>79</v>
      </c>
      <c r="D63" s="25">
        <v>2</v>
      </c>
      <c r="E63" s="25">
        <v>6</v>
      </c>
    </row>
    <row r="64" spans="1:5" ht="12">
      <c r="A64" s="25">
        <v>60</v>
      </c>
      <c r="B64" s="23" t="s">
        <v>198</v>
      </c>
      <c r="C64" s="25" t="s">
        <v>79</v>
      </c>
      <c r="D64" s="25">
        <v>2</v>
      </c>
      <c r="E64" s="25">
        <v>6</v>
      </c>
    </row>
    <row r="65" spans="1:5" ht="12">
      <c r="A65" s="25">
        <v>61</v>
      </c>
      <c r="B65" s="23" t="s">
        <v>112</v>
      </c>
      <c r="C65" s="25" t="s">
        <v>79</v>
      </c>
      <c r="D65" s="25">
        <v>2</v>
      </c>
      <c r="E65" s="25">
        <v>6</v>
      </c>
    </row>
    <row r="66" spans="1:5" ht="12">
      <c r="A66" s="25">
        <v>62</v>
      </c>
      <c r="B66" s="23" t="s">
        <v>113</v>
      </c>
      <c r="C66" s="25" t="s">
        <v>79</v>
      </c>
      <c r="D66" s="25">
        <v>2</v>
      </c>
      <c r="E66" s="25">
        <v>6</v>
      </c>
    </row>
    <row r="67" spans="1:5" ht="12">
      <c r="A67" s="25">
        <v>63</v>
      </c>
      <c r="B67" s="23" t="s">
        <v>114</v>
      </c>
      <c r="C67" s="25" t="s">
        <v>79</v>
      </c>
      <c r="D67" s="25">
        <v>2</v>
      </c>
      <c r="E67" s="25">
        <v>6</v>
      </c>
    </row>
    <row r="68" spans="1:5" ht="12">
      <c r="A68" s="25">
        <v>64</v>
      </c>
      <c r="B68" s="23" t="s">
        <v>115</v>
      </c>
      <c r="C68" s="25" t="s">
        <v>79</v>
      </c>
      <c r="D68" s="25">
        <v>2</v>
      </c>
      <c r="E68" s="25">
        <v>6</v>
      </c>
    </row>
    <row r="69" spans="1:5" ht="12">
      <c r="A69" s="25">
        <v>65</v>
      </c>
      <c r="B69" s="23" t="s">
        <v>116</v>
      </c>
      <c r="C69" s="25" t="s">
        <v>79</v>
      </c>
      <c r="D69" s="25">
        <v>2</v>
      </c>
      <c r="E69" s="25">
        <v>6</v>
      </c>
    </row>
    <row r="70" spans="1:5" ht="12">
      <c r="A70" s="25">
        <v>66</v>
      </c>
      <c r="B70" s="23" t="s">
        <v>117</v>
      </c>
      <c r="C70" s="25" t="s">
        <v>79</v>
      </c>
      <c r="D70" s="25">
        <v>2</v>
      </c>
      <c r="E70" s="25">
        <v>6</v>
      </c>
    </row>
    <row r="71" spans="1:5" ht="12">
      <c r="A71" s="25">
        <v>67</v>
      </c>
      <c r="B71" s="23" t="s">
        <v>118</v>
      </c>
      <c r="C71" s="25" t="s">
        <v>79</v>
      </c>
      <c r="D71" s="25">
        <v>2</v>
      </c>
      <c r="E71" s="25">
        <v>6</v>
      </c>
    </row>
    <row r="72" spans="1:5" ht="12">
      <c r="A72" s="25">
        <v>68</v>
      </c>
      <c r="B72" s="23" t="s">
        <v>119</v>
      </c>
      <c r="C72" s="25" t="s">
        <v>79</v>
      </c>
      <c r="D72" s="25">
        <v>2</v>
      </c>
      <c r="E72" s="25">
        <v>6</v>
      </c>
    </row>
    <row r="73" spans="1:5" ht="12">
      <c r="A73" s="25">
        <v>69</v>
      </c>
      <c r="B73" s="23" t="s">
        <v>120</v>
      </c>
      <c r="C73" s="25" t="s">
        <v>79</v>
      </c>
      <c r="D73" s="25">
        <v>2</v>
      </c>
      <c r="E73" s="25">
        <v>6</v>
      </c>
    </row>
    <row r="74" spans="1:5" ht="12">
      <c r="A74" s="25">
        <v>70</v>
      </c>
      <c r="B74" s="23" t="s">
        <v>164</v>
      </c>
      <c r="C74" s="25" t="s">
        <v>79</v>
      </c>
      <c r="D74" s="25">
        <v>2</v>
      </c>
      <c r="E74" s="25">
        <v>6</v>
      </c>
    </row>
    <row r="75" spans="1:5" ht="12">
      <c r="A75" s="25">
        <v>71</v>
      </c>
      <c r="B75" s="23" t="s">
        <v>165</v>
      </c>
      <c r="C75" s="25" t="s">
        <v>79</v>
      </c>
      <c r="D75" s="25">
        <v>2</v>
      </c>
      <c r="E75" s="25">
        <v>6</v>
      </c>
    </row>
    <row r="76" spans="1:5" ht="12">
      <c r="A76" s="25">
        <v>72</v>
      </c>
      <c r="B76" s="23" t="s">
        <v>166</v>
      </c>
      <c r="C76" s="25" t="s">
        <v>79</v>
      </c>
      <c r="D76" s="25">
        <v>2</v>
      </c>
      <c r="E76" s="25">
        <v>6</v>
      </c>
    </row>
    <row r="77" spans="1:5" ht="12">
      <c r="A77" s="25">
        <v>73</v>
      </c>
      <c r="B77" s="23" t="s">
        <v>167</v>
      </c>
      <c r="C77" s="25" t="s">
        <v>79</v>
      </c>
      <c r="D77" s="25">
        <v>2</v>
      </c>
      <c r="E77" s="25">
        <v>6</v>
      </c>
    </row>
    <row r="78" spans="1:5" ht="12">
      <c r="A78" s="25">
        <v>74</v>
      </c>
      <c r="B78" s="23" t="s">
        <v>168</v>
      </c>
      <c r="C78" s="25" t="s">
        <v>79</v>
      </c>
      <c r="D78" s="25">
        <v>2</v>
      </c>
      <c r="E78" s="25">
        <v>6</v>
      </c>
    </row>
    <row r="79" spans="1:5" ht="12">
      <c r="A79" s="25">
        <v>75</v>
      </c>
      <c r="B79" s="23" t="s">
        <v>169</v>
      </c>
      <c r="C79" s="25" t="s">
        <v>79</v>
      </c>
      <c r="D79" s="25">
        <v>2</v>
      </c>
      <c r="E79" s="25">
        <v>6</v>
      </c>
    </row>
    <row r="80" spans="1:5" ht="12">
      <c r="A80" s="25">
        <v>76</v>
      </c>
      <c r="B80" s="23" t="s">
        <v>170</v>
      </c>
      <c r="C80" s="25" t="s">
        <v>79</v>
      </c>
      <c r="D80" s="25">
        <v>2</v>
      </c>
      <c r="E80" s="25">
        <v>6</v>
      </c>
    </row>
    <row r="81" spans="1:5" ht="12">
      <c r="A81" s="25">
        <v>77</v>
      </c>
      <c r="B81" s="23" t="s">
        <v>171</v>
      </c>
      <c r="C81" s="25" t="s">
        <v>79</v>
      </c>
      <c r="D81" s="25">
        <v>2</v>
      </c>
      <c r="E81" s="25">
        <v>6</v>
      </c>
    </row>
  </sheetData>
  <conditionalFormatting sqref="G43:G51 G22:G40 A4:G9 G10:G20 A10:A162 B53:B162 B46:B51 B10:B43 F10:F43 F46:F51 F53:G162 C10:E162">
    <cfRule type="expression" priority="1" dxfId="3" stopIfTrue="1">
      <formula>$C4="Done"</formula>
    </cfRule>
    <cfRule type="expression" priority="2" dxfId="4" stopIfTrue="1">
      <formula>$C4="Ongoing"</formula>
    </cfRule>
    <cfRule type="expression" priority="3" dxfId="5" stopIfTrue="1">
      <formula>$C4="Removed"</formula>
    </cfRule>
  </conditionalFormatting>
  <conditionalFormatting sqref="G52">
    <cfRule type="expression" priority="4" dxfId="3" stopIfTrue="1">
      <formula>$C42="Done"</formula>
    </cfRule>
    <cfRule type="expression" priority="5" dxfId="4" stopIfTrue="1">
      <formula>$C42="Ongoing"</formula>
    </cfRule>
    <cfRule type="expression" priority="6" dxfId="5" stopIfTrue="1">
      <formula>$C42="Removed"</formula>
    </cfRule>
  </conditionalFormatting>
  <conditionalFormatting sqref="G41:G42">
    <cfRule type="expression" priority="7" dxfId="3" stopIfTrue="1">
      <formula>#REF!="Done"</formula>
    </cfRule>
    <cfRule type="expression" priority="8" dxfId="4" stopIfTrue="1">
      <formula>#REF!="Ongoing"</formula>
    </cfRule>
    <cfRule type="expression" priority="9" dxfId="5" stopIfTrue="1">
      <formula>#REF!="Removed"</formula>
    </cfRule>
  </conditionalFormatting>
  <conditionalFormatting sqref="G21">
    <cfRule type="expression" priority="10" dxfId="3" stopIfTrue="1">
      <formula>#REF!="Done"</formula>
    </cfRule>
    <cfRule type="expression" priority="11" dxfId="4" stopIfTrue="1">
      <formula>#REF!="Ongoing"</formula>
    </cfRule>
    <cfRule type="expression" priority="12" dxfId="5" stopIfTrue="1">
      <formula>#REF!="Removed"</formula>
    </cfRule>
  </conditionalFormatting>
  <dataValidations count="1">
    <dataValidation type="list" allowBlank="1" showInputMessage="1" sqref="C4:C162">
      <formula1>"Planned,Ongoing,Done,Removed"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1"/>
  <sheetViews>
    <sheetView tabSelected="1" workbookViewId="0" topLeftCell="A1">
      <selection activeCell="C32" sqref="C32"/>
    </sheetView>
  </sheetViews>
  <sheetFormatPr defaultColWidth="11.421875" defaultRowHeight="12.75"/>
  <cols>
    <col min="1" max="1" width="11.8515625" style="0" customWidth="1"/>
    <col min="2" max="4" width="8.8515625" style="0" customWidth="1"/>
    <col min="5" max="5" width="14.421875" style="0" customWidth="1"/>
    <col min="6" max="6" width="15.7109375" style="0" hidden="1" customWidth="1"/>
    <col min="7" max="8" width="5.421875" style="0" hidden="1" customWidth="1"/>
    <col min="9" max="9" width="7.28125" style="0" hidden="1" customWidth="1"/>
    <col min="10" max="10" width="4.28125" style="0" hidden="1" customWidth="1"/>
    <col min="11" max="13" width="6.8515625" style="0" hidden="1" customWidth="1"/>
    <col min="14" max="16" width="9.140625" style="0" hidden="1" customWidth="1"/>
    <col min="17" max="17" width="10.421875" style="0" hidden="1" customWidth="1"/>
    <col min="18" max="16384" width="8.8515625" style="0" customWidth="1"/>
  </cols>
  <sheetData>
    <row r="1" ht="18">
      <c r="A1" s="37" t="s">
        <v>92</v>
      </c>
    </row>
    <row r="3" spans="1:7" ht="12.75">
      <c r="A3" t="s">
        <v>96</v>
      </c>
      <c r="D3">
        <v>137</v>
      </c>
      <c r="F3" t="s">
        <v>98</v>
      </c>
      <c r="G3" s="38">
        <f>IF(COUNT(B28:B39)=0,1,COUNT(B28:B39))</f>
        <v>5</v>
      </c>
    </row>
    <row r="4" spans="1:7" ht="12.75">
      <c r="A4" t="s">
        <v>99</v>
      </c>
      <c r="D4">
        <v>3</v>
      </c>
      <c r="E4" t="s">
        <v>100</v>
      </c>
      <c r="F4" t="s">
        <v>5</v>
      </c>
      <c r="G4" s="38">
        <f>IF(COUNT(D28:D51)=0,1,COUNT(D28:D51)+1)</f>
        <v>3</v>
      </c>
    </row>
    <row r="5" spans="6:26" ht="12.75">
      <c r="F5" t="s">
        <v>101</v>
      </c>
      <c r="G5" s="38">
        <f>IF(G4&gt;D4,G4-D4,0)</f>
        <v>0</v>
      </c>
      <c r="Z5" s="29" t="s">
        <v>47</v>
      </c>
    </row>
    <row r="6" spans="1:26" ht="12.75">
      <c r="A6" s="1" t="s">
        <v>19</v>
      </c>
      <c r="F6" t="s">
        <v>102</v>
      </c>
      <c r="G6" s="38">
        <f>TrendSprintCount-TrendOffset</f>
        <v>3</v>
      </c>
      <c r="Z6" s="29" t="s">
        <v>48</v>
      </c>
    </row>
    <row r="7" spans="1:26" ht="12.75">
      <c r="A7" t="s">
        <v>105</v>
      </c>
      <c r="D7">
        <v>30</v>
      </c>
      <c r="Z7" s="29" t="s">
        <v>51</v>
      </c>
    </row>
    <row r="8" spans="1:26" ht="12.75">
      <c r="A8" s="92">
        <f>D$4</f>
        <v>3</v>
      </c>
      <c r="B8" s="92"/>
      <c r="D8" s="41">
        <f ca="1">IF(D28="","",AVERAGE(OFFSET(D27,TrendOffset,0,SprintsInTrend,1)))</f>
        <v>25</v>
      </c>
      <c r="Z8" s="29" t="s">
        <v>52</v>
      </c>
    </row>
    <row r="9" spans="1:26" ht="12.75">
      <c r="A9" t="s">
        <v>6</v>
      </c>
      <c r="D9" s="41">
        <f ca="1">IF(D28="","",AVERAGE(OFFSET(D27,1,0,SprintCount,1)))</f>
        <v>25</v>
      </c>
      <c r="F9" t="s">
        <v>110</v>
      </c>
      <c r="G9" s="38">
        <f>IF(M28="",1,COUNT(M28:M110))</f>
        <v>7</v>
      </c>
      <c r="Z9" s="29" t="s">
        <v>53</v>
      </c>
    </row>
    <row r="10" spans="1:26" ht="12.75">
      <c r="A10" t="s">
        <v>107</v>
      </c>
      <c r="D10" s="41">
        <f>IF(D28="","",AVERAGE(LastEight))</f>
        <v>25</v>
      </c>
      <c r="Z10" s="29" t="s">
        <v>49</v>
      </c>
    </row>
    <row r="11" spans="1:26" ht="12.75">
      <c r="A11" t="s">
        <v>108</v>
      </c>
      <c r="D11" s="41">
        <f>IF(D28="","",IF(TrendSprintCount&lt;4,D10,AVERAGE(SMALL(LastEight,1),SMALL(LastEight,2),SMALL(LastEight,3))))</f>
        <v>25</v>
      </c>
      <c r="Z11" s="29" t="s">
        <v>50</v>
      </c>
    </row>
    <row r="12" spans="1:26" ht="12.75">
      <c r="A12" t="s">
        <v>84</v>
      </c>
      <c r="D12" s="41">
        <f>IF(M29="","",M28-M29)</f>
        <v>25</v>
      </c>
      <c r="Z12" s="29" t="s">
        <v>54</v>
      </c>
    </row>
    <row r="13" spans="6:26" ht="12.75">
      <c r="F13" s="39" t="s">
        <v>111</v>
      </c>
      <c r="Z13" s="29" t="s">
        <v>55</v>
      </c>
    </row>
    <row r="14" ht="12.75">
      <c r="A14" s="1" t="s">
        <v>0</v>
      </c>
    </row>
    <row r="15" spans="1:4" ht="12.75">
      <c r="A15" t="s">
        <v>1</v>
      </c>
      <c r="D15" s="42">
        <f>IF(D7="",0,ROUNDUP(D3/D7*0.6,0))</f>
        <v>3</v>
      </c>
    </row>
    <row r="16" spans="1:4" ht="12.75">
      <c r="A16" t="s">
        <v>3</v>
      </c>
      <c r="D16" s="42">
        <f>IF(D7="",0,ROUNDUP(D3/D7,0))</f>
        <v>5</v>
      </c>
    </row>
    <row r="17" spans="1:7" ht="12.75">
      <c r="A17" t="s">
        <v>2</v>
      </c>
      <c r="D17" s="42">
        <f>IF(D7="",0,ROUNDUP(D3/D7*1.6,0))</f>
        <v>8</v>
      </c>
      <c r="F17" t="s">
        <v>7</v>
      </c>
      <c r="G17">
        <f>IF(OR(D28="",D29=""),1,STDEV(D28:D51))</f>
        <v>2.8284271247461903</v>
      </c>
    </row>
    <row r="18" spans="1:4" ht="12.75">
      <c r="A18" s="92">
        <f>D$4</f>
        <v>3</v>
      </c>
      <c r="B18" s="92"/>
      <c r="D18" s="42">
        <f>IF(D8="","",IF(LastRealized="",ROUNDUP(LastPlanned/D8,0)+SprintCount-1,ROUNDUP((LastPlanned-LastRealized)/D8+SprintCount,0)))</f>
        <v>6</v>
      </c>
    </row>
    <row r="19" spans="1:7" ht="12.75">
      <c r="A19" t="s">
        <v>106</v>
      </c>
      <c r="D19" s="42">
        <f>IF(D9="","",IF(LastRealized="",ROUNDUP(LastPlanned/D9+SprintCount-1,0),ROUNDUP((LastPlanned-LastRealized)/D9,0)+SprintCount))</f>
        <v>6</v>
      </c>
      <c r="F19" t="s">
        <v>10</v>
      </c>
      <c r="G19">
        <f>LastPlanned</f>
        <v>28</v>
      </c>
    </row>
    <row r="20" spans="1:7" ht="12.75">
      <c r="A20" t="s">
        <v>107</v>
      </c>
      <c r="D20" s="42">
        <f>IF(D10="","",IF(LastRealized="",ROUNDUP(LastPlanned/D10+SprintCount-1,0),ROUNDUP((LastPlanned-LastRealized)/D10,0)+SprintCount))</f>
        <v>6</v>
      </c>
      <c r="F20" t="s">
        <v>11</v>
      </c>
      <c r="G20">
        <f>LastRealized</f>
        <v>0</v>
      </c>
    </row>
    <row r="21" spans="1:4" ht="12.75">
      <c r="A21" t="s">
        <v>108</v>
      </c>
      <c r="D21" s="42">
        <f>IF(D11="","",IF(LastRealized="",ROUNDUP(LastPlanned/D11+SprintCount-1,0),ROUNDUP((LastPlanned-LastRealized)/D11,0)+SprintCount))</f>
        <v>6</v>
      </c>
    </row>
    <row r="22" spans="1:4" ht="12.75">
      <c r="A22" t="s">
        <v>84</v>
      </c>
      <c r="D22" s="42">
        <f>IF(COUNT(M28:M51)-1&gt;0,COUNT(M28:M51)-1,"")</f>
        <v>6</v>
      </c>
    </row>
    <row r="23" spans="1:4" ht="12">
      <c r="A23" t="s">
        <v>8</v>
      </c>
      <c r="D23" s="42">
        <f>IF(D9="","",IF(LastRealized="",ROUNDUP(LastPlanned/(D9+G17)+SprintCount-1,0),ROUNDUP((LastPlanned-LastRealized)/(D9+G17)+SprintCount,0)))</f>
        <v>6</v>
      </c>
    </row>
    <row r="24" spans="1:4" ht="12">
      <c r="A24" t="s">
        <v>9</v>
      </c>
      <c r="D24" s="42">
        <f>IF(D9="","",IF(LastRealized="",ROUNDUP(LastPlanned/(D9-G17)+SprintCount-1,0),ROUNDUP((LastPlanned-LastRealized)/(D9-G17)+SprintCount,0)))</f>
        <v>6</v>
      </c>
    </row>
    <row r="26" spans="6:17" ht="12.75" customHeight="1">
      <c r="F26" s="94" t="s">
        <v>84</v>
      </c>
      <c r="G26" s="94"/>
      <c r="H26" s="94"/>
      <c r="I26" s="94"/>
      <c r="J26" s="94"/>
      <c r="K26" s="94"/>
      <c r="L26" s="94"/>
      <c r="M26" s="94"/>
      <c r="N26" s="94"/>
      <c r="O26" s="94" t="s">
        <v>16</v>
      </c>
      <c r="P26" s="94"/>
      <c r="Q26" s="94"/>
    </row>
    <row r="27" spans="1:17" s="3" customFormat="1" ht="24.75" thickBot="1">
      <c r="A27" s="43" t="s">
        <v>75</v>
      </c>
      <c r="B27" s="44" t="s">
        <v>12</v>
      </c>
      <c r="C27" s="44" t="s">
        <v>13</v>
      </c>
      <c r="D27" s="45" t="s">
        <v>14</v>
      </c>
      <c r="E27" s="45" t="s">
        <v>15</v>
      </c>
      <c r="F27" s="46" t="s">
        <v>94</v>
      </c>
      <c r="G27" s="93" t="s">
        <v>97</v>
      </c>
      <c r="H27" s="93"/>
      <c r="I27" s="46" t="s">
        <v>95</v>
      </c>
      <c r="J27" s="47"/>
      <c r="K27" s="46" t="s">
        <v>4</v>
      </c>
      <c r="L27" s="46" t="s">
        <v>109</v>
      </c>
      <c r="M27" s="46" t="s">
        <v>104</v>
      </c>
      <c r="N27" s="48" t="s">
        <v>103</v>
      </c>
      <c r="O27" s="46" t="s">
        <v>93</v>
      </c>
      <c r="P27" s="46" t="s">
        <v>17</v>
      </c>
      <c r="Q27" s="46" t="s">
        <v>18</v>
      </c>
    </row>
    <row r="28" spans="1:17" ht="12">
      <c r="A28" s="40">
        <v>1</v>
      </c>
      <c r="B28" s="2">
        <f>D3</f>
        <v>137</v>
      </c>
      <c r="C28" s="2">
        <v>23</v>
      </c>
      <c r="D28" s="2">
        <v>23</v>
      </c>
      <c r="E28" s="40">
        <f>B28</f>
        <v>137</v>
      </c>
      <c r="F28" s="38">
        <f>B28</f>
        <v>137</v>
      </c>
      <c r="G28" s="38">
        <f aca="true" t="shared" si="0" ref="G28:G51">F28</f>
        <v>137</v>
      </c>
      <c r="H28" s="38">
        <f aca="true" t="shared" si="1" ref="H28:H33">I28</f>
        <v>0</v>
      </c>
      <c r="I28" s="38">
        <v>0</v>
      </c>
      <c r="K28">
        <f aca="true" t="shared" si="2" ref="K28:K33">IF(F28&lt;I28,I28,F28)</f>
        <v>137</v>
      </c>
      <c r="L28" s="38">
        <f aca="true" ca="1" t="shared" si="3" ref="L28:L51">IF(TREND(OFFSET($K$27,TrendOffset+1,0,SprintsInTrend,1),OFFSET($A$27,TrendOffset+1,0,SprintsInTrend,1),A28)&lt;N28,N28,TREND(OFFSET($K$27,TrendOffset+1,0,SprintsInTrend,1),OFFSET($A$27,TrendOffset+1,0,SprintsInTrend,1),A28))</f>
        <v>137.66666666666669</v>
      </c>
      <c r="M28" s="38">
        <f>L28</f>
        <v>137.66666666666669</v>
      </c>
      <c r="N28" s="38">
        <f aca="true" ca="1" t="shared" si="4" ref="N28:N51">OFFSET($I$27,TrendSprintCount,0,1,1)</f>
        <v>0</v>
      </c>
      <c r="O28" s="49">
        <f aca="true" t="shared" si="5" ref="O28:O51">D$9</f>
        <v>25</v>
      </c>
      <c r="P28" s="49">
        <f aca="true" t="shared" si="6" ref="P28:P51">D$10</f>
        <v>25</v>
      </c>
      <c r="Q28" s="49">
        <f aca="true" t="shared" si="7" ref="Q28:Q51">D$11</f>
        <v>25</v>
      </c>
    </row>
    <row r="29" spans="1:17" ht="12">
      <c r="A29" s="40">
        <v>2</v>
      </c>
      <c r="B29" s="2">
        <f aca="true" t="shared" si="8" ref="B29:B34">IF(OR(B28="",C28=""),"",IF(D28="",IF(B28-C28&lt;=0,"",B28-C28),IF(B28-D28&lt;=0,"",B28-D28)))</f>
        <v>114</v>
      </c>
      <c r="C29" s="2">
        <v>29</v>
      </c>
      <c r="D29" s="2">
        <v>27</v>
      </c>
      <c r="E29" s="40">
        <f>IF(B29="","",IF(D28="",E28,B29+SUM(D$28:D28)))</f>
        <v>137</v>
      </c>
      <c r="F29" s="38">
        <f aca="true" t="shared" si="9" ref="F29:F34">IF(B29="",IF(B28="","",IF(D28="","",I28)),IF(AND(D28="",C28=""),"",IF(AND(D28="",C28&lt;&gt;""),IF(I28&gt;F28,F28,I28),F28-D28)))</f>
        <v>114</v>
      </c>
      <c r="G29" s="38">
        <f t="shared" si="0"/>
        <v>114</v>
      </c>
      <c r="H29" s="38">
        <f t="shared" si="1"/>
        <v>0</v>
      </c>
      <c r="I29" s="38">
        <f>IF(B29="",IF(B28="","",IF(D28="","",F28-D28)),IF(AND(C28="",D28=""),"",IF(AND(D28="",C28&lt;&gt;""),IF(I28&gt;F28,I28-C28,F28-C28),B$28-B29-SUM(D$28:D28))))</f>
        <v>0</v>
      </c>
      <c r="K29">
        <f t="shared" si="2"/>
        <v>114</v>
      </c>
      <c r="L29" s="38">
        <f ca="1" t="shared" si="3"/>
        <v>112.66666666666669</v>
      </c>
      <c r="M29" s="38">
        <f>IF(L29=L28,"",L29)</f>
        <v>112.66666666666669</v>
      </c>
      <c r="N29" s="38">
        <f ca="1" t="shared" si="4"/>
        <v>0</v>
      </c>
      <c r="O29" s="49">
        <f t="shared" si="5"/>
        <v>25</v>
      </c>
      <c r="P29" s="49">
        <f t="shared" si="6"/>
        <v>25</v>
      </c>
      <c r="Q29" s="49">
        <f t="shared" si="7"/>
        <v>25</v>
      </c>
    </row>
    <row r="30" spans="1:17" ht="12">
      <c r="A30" s="40">
        <v>3</v>
      </c>
      <c r="B30" s="2">
        <f t="shared" si="8"/>
        <v>87</v>
      </c>
      <c r="C30" s="2">
        <v>31</v>
      </c>
      <c r="D30" s="2"/>
      <c r="E30" s="40">
        <f>IF(B30="","",IF(D29="",E29,B30+SUM(D$28:D29)))</f>
        <v>137</v>
      </c>
      <c r="F30" s="38">
        <f t="shared" si="9"/>
        <v>87</v>
      </c>
      <c r="G30" s="38">
        <f t="shared" si="0"/>
        <v>87</v>
      </c>
      <c r="H30" s="38">
        <f t="shared" si="1"/>
        <v>0</v>
      </c>
      <c r="I30" s="38">
        <f>IF(B30="",IF(B29="","",IF(D29="","",F29-D29)),IF(AND(C29="",D29=""),"",IF(AND(D29="",C29&lt;&gt;""),IF(I29&gt;F29,I29-C29,F29-C29),B$28-B30-SUM(D$28:D29))))</f>
        <v>0</v>
      </c>
      <c r="K30">
        <f t="shared" si="2"/>
        <v>87</v>
      </c>
      <c r="L30" s="38">
        <f ca="1" t="shared" si="3"/>
        <v>87.66666666666669</v>
      </c>
      <c r="M30" s="38">
        <f aca="true" t="shared" si="10" ref="M30:M51">IF(L30=L29,"",L30)</f>
        <v>87.66666666666669</v>
      </c>
      <c r="N30" s="38">
        <f ca="1" t="shared" si="4"/>
        <v>0</v>
      </c>
      <c r="O30" s="49">
        <f t="shared" si="5"/>
        <v>25</v>
      </c>
      <c r="P30" s="49">
        <f t="shared" si="6"/>
        <v>25</v>
      </c>
      <c r="Q30" s="49">
        <f t="shared" si="7"/>
        <v>25</v>
      </c>
    </row>
    <row r="31" spans="1:17" ht="12">
      <c r="A31" s="40">
        <v>4</v>
      </c>
      <c r="B31" s="2">
        <f t="shared" si="8"/>
        <v>56</v>
      </c>
      <c r="C31" s="2">
        <v>28</v>
      </c>
      <c r="D31" s="2"/>
      <c r="E31" s="40">
        <f>IF(B31="","",IF(D30="",E30,B31+SUM(D$28:D30)))</f>
        <v>137</v>
      </c>
      <c r="F31" s="38">
        <f t="shared" si="9"/>
        <v>0</v>
      </c>
      <c r="G31" s="38">
        <f t="shared" si="0"/>
        <v>0</v>
      </c>
      <c r="H31" s="38">
        <f t="shared" si="1"/>
        <v>56</v>
      </c>
      <c r="I31" s="38">
        <f>IF(B31="",IF(B30="","",IF(D30="","",F30-D30)),IF(AND(C30="",D30=""),"",IF(AND(D30="",C30&lt;&gt;""),IF(I30&gt;F30,I30-C30,F30-C30),B$28-B31-SUM(D$28:D30))))</f>
        <v>56</v>
      </c>
      <c r="K31">
        <f t="shared" si="2"/>
        <v>56</v>
      </c>
      <c r="L31" s="38">
        <f ca="1" t="shared" si="3"/>
        <v>62.666666666666686</v>
      </c>
      <c r="M31" s="38">
        <f t="shared" si="10"/>
        <v>62.666666666666686</v>
      </c>
      <c r="N31" s="38">
        <f ca="1" t="shared" si="4"/>
        <v>0</v>
      </c>
      <c r="O31" s="49">
        <f t="shared" si="5"/>
        <v>25</v>
      </c>
      <c r="P31" s="49">
        <f t="shared" si="6"/>
        <v>25</v>
      </c>
      <c r="Q31" s="49">
        <f t="shared" si="7"/>
        <v>25</v>
      </c>
    </row>
    <row r="32" spans="1:17" ht="12">
      <c r="A32" s="40">
        <v>5</v>
      </c>
      <c r="B32" s="2">
        <f t="shared" si="8"/>
        <v>28</v>
      </c>
      <c r="C32" s="2">
        <v>28</v>
      </c>
      <c r="D32" s="2"/>
      <c r="E32" s="40">
        <f>IF(B32="","",IF(D31="",E31,B32+SUM(D$28:D31)))</f>
        <v>137</v>
      </c>
      <c r="F32" s="38">
        <f t="shared" si="9"/>
        <v>0</v>
      </c>
      <c r="G32" s="38">
        <f t="shared" si="0"/>
        <v>0</v>
      </c>
      <c r="H32" s="38">
        <f t="shared" si="1"/>
        <v>28</v>
      </c>
      <c r="I32" s="38">
        <f>IF(B32="",IF(B31="","",IF(D31="","",F31-D31)),IF(AND(C31="",D31=""),"",IF(AND(D31="",C31&lt;&gt;""),IF(I31&gt;F31,I31-C31,F31-C31),B$28-B32-SUM(D$28:D31))))</f>
        <v>28</v>
      </c>
      <c r="K32">
        <f t="shared" si="2"/>
        <v>28</v>
      </c>
      <c r="L32" s="38">
        <f ca="1" t="shared" si="3"/>
        <v>37.666666666666686</v>
      </c>
      <c r="M32" s="38">
        <f t="shared" si="10"/>
        <v>37.666666666666686</v>
      </c>
      <c r="N32" s="38">
        <f ca="1" t="shared" si="4"/>
        <v>0</v>
      </c>
      <c r="O32" s="49">
        <f t="shared" si="5"/>
        <v>25</v>
      </c>
      <c r="P32" s="49">
        <f t="shared" si="6"/>
        <v>25</v>
      </c>
      <c r="Q32" s="49">
        <f t="shared" si="7"/>
        <v>25</v>
      </c>
    </row>
    <row r="33" spans="1:17" ht="12">
      <c r="A33" s="40">
        <v>6</v>
      </c>
      <c r="B33" s="2">
        <f t="shared" si="8"/>
      </c>
      <c r="C33" s="2"/>
      <c r="D33" s="2"/>
      <c r="E33" s="40">
        <f>IF(B33="","",IF(D32="",E32,B33+SUM(D$28:D32)))</f>
      </c>
      <c r="F33" s="38">
        <f t="shared" si="9"/>
      </c>
      <c r="G33" s="38">
        <f t="shared" si="0"/>
      </c>
      <c r="H33" s="38">
        <f t="shared" si="1"/>
      </c>
      <c r="I33" s="38">
        <f>IF(B33="",IF(B32="","",IF(D32="","",F32-D32)),IF(AND(C32="",D32=""),"",IF(AND(D32="",C32&lt;&gt;""),IF(I32&gt;F32,I32-C32,F32-C32),B$28-B33-SUM(D$28:D32))))</f>
      </c>
      <c r="K33">
        <f t="shared" si="2"/>
      </c>
      <c r="L33" s="38">
        <f ca="1" t="shared" si="3"/>
        <v>12.666666666666686</v>
      </c>
      <c r="M33" s="38">
        <f t="shared" si="10"/>
        <v>12.666666666666686</v>
      </c>
      <c r="N33" s="38">
        <f ca="1" t="shared" si="4"/>
        <v>0</v>
      </c>
      <c r="O33" s="49">
        <f t="shared" si="5"/>
        <v>25</v>
      </c>
      <c r="P33" s="49">
        <f t="shared" si="6"/>
        <v>25</v>
      </c>
      <c r="Q33" s="49">
        <f t="shared" si="7"/>
        <v>25</v>
      </c>
    </row>
    <row r="34" spans="1:17" ht="12">
      <c r="A34" s="40">
        <v>7</v>
      </c>
      <c r="B34" s="2">
        <f t="shared" si="8"/>
      </c>
      <c r="C34" s="2"/>
      <c r="D34" s="2"/>
      <c r="E34" s="40">
        <f>IF(B34="","",IF(D33="",E33,B34+SUM(D$28:D33)))</f>
      </c>
      <c r="F34" s="38">
        <f t="shared" si="9"/>
      </c>
      <c r="G34" s="38">
        <f t="shared" si="0"/>
      </c>
      <c r="H34" s="38">
        <f aca="true" t="shared" si="11" ref="H34:H51">I34</f>
      </c>
      <c r="I34" s="38">
        <f>IF(B34="",IF(B33="","",IF(D33="","",F33-D33)),IF(AND(C33="",D33=""),"",IF(AND(D33="",C33&lt;&gt;""),IF(I33&gt;F33,I33-C33,F33-C33),B$28-B34-SUM(D$28:D33))))</f>
      </c>
      <c r="K34">
        <f aca="true" t="shared" si="12" ref="K34:K51">IF(F34&lt;I34,I34,F34)</f>
      </c>
      <c r="L34" s="38">
        <f ca="1" t="shared" si="3"/>
        <v>0</v>
      </c>
      <c r="M34" s="38">
        <f t="shared" si="10"/>
        <v>0</v>
      </c>
      <c r="N34" s="38">
        <f ca="1" t="shared" si="4"/>
        <v>0</v>
      </c>
      <c r="O34" s="49">
        <f t="shared" si="5"/>
        <v>25</v>
      </c>
      <c r="P34" s="49">
        <f t="shared" si="6"/>
        <v>25</v>
      </c>
      <c r="Q34" s="49">
        <f t="shared" si="7"/>
        <v>25</v>
      </c>
    </row>
    <row r="35" spans="1:17" ht="12">
      <c r="A35" s="27"/>
      <c r="B35" s="27"/>
      <c r="C35" s="27"/>
      <c r="D35" s="27"/>
      <c r="E35" s="27"/>
      <c r="F35" s="38">
        <f aca="true" t="shared" si="13" ref="F35:F51">IF(B35="",IF(B34="","",IF(D34="","",I34)),IF(AND(D34="",C34=""),"",IF(AND(D34="",C34&lt;&gt;""),IF(I34&gt;F34,F34,I34),F34-D34)))</f>
      </c>
      <c r="G35" s="38">
        <f t="shared" si="0"/>
      </c>
      <c r="H35" s="38">
        <f t="shared" si="11"/>
      </c>
      <c r="I35" s="38">
        <f>IF(B35="",IF(B34="","",IF(D34="","",F34-D34)),IF(AND(C34="",D34=""),"",IF(AND(D34="",C34&lt;&gt;""),IF(I34&gt;F34,I34-C34,F34-C34),B$28-B35-SUM(D$28:D34))))</f>
      </c>
      <c r="K35">
        <f t="shared" si="12"/>
      </c>
      <c r="L35" s="38" t="e">
        <f ca="1" t="shared" si="3"/>
        <v>#VALUE!</v>
      </c>
      <c r="M35" s="38" t="e">
        <f t="shared" si="10"/>
        <v>#VALUE!</v>
      </c>
      <c r="N35" s="38">
        <f ca="1" t="shared" si="4"/>
        <v>0</v>
      </c>
      <c r="O35" s="49">
        <f t="shared" si="5"/>
        <v>25</v>
      </c>
      <c r="P35" s="49">
        <f t="shared" si="6"/>
        <v>25</v>
      </c>
      <c r="Q35" s="49">
        <f t="shared" si="7"/>
        <v>25</v>
      </c>
    </row>
    <row r="36" spans="1:17" ht="12">
      <c r="A36" s="27"/>
      <c r="B36" s="27"/>
      <c r="C36" s="27"/>
      <c r="D36" s="27"/>
      <c r="E36" s="27"/>
      <c r="F36" s="38">
        <f t="shared" si="13"/>
      </c>
      <c r="G36" s="38">
        <f t="shared" si="0"/>
      </c>
      <c r="H36" s="38">
        <f t="shared" si="11"/>
      </c>
      <c r="I36" s="38">
        <f>IF(B36="",IF(B35="","",IF(D35="","",F35-D35)),IF(AND(C35="",D35=""),"",IF(AND(D35="",C35&lt;&gt;""),IF(I35&gt;F35,I35-C35,F35-C35),B$28-B36-SUM(D$28:D35))))</f>
      </c>
      <c r="K36">
        <f t="shared" si="12"/>
      </c>
      <c r="L36" s="38" t="e">
        <f ca="1" t="shared" si="3"/>
        <v>#VALUE!</v>
      </c>
      <c r="M36" s="38" t="e">
        <f t="shared" si="10"/>
        <v>#VALUE!</v>
      </c>
      <c r="N36" s="38">
        <f ca="1" t="shared" si="4"/>
        <v>0</v>
      </c>
      <c r="O36" s="49">
        <f t="shared" si="5"/>
        <v>25</v>
      </c>
      <c r="P36" s="49">
        <f t="shared" si="6"/>
        <v>25</v>
      </c>
      <c r="Q36" s="49">
        <f t="shared" si="7"/>
        <v>25</v>
      </c>
    </row>
    <row r="37" spans="1:17" ht="12">
      <c r="A37" s="27"/>
      <c r="B37" s="27"/>
      <c r="C37" s="27"/>
      <c r="D37" s="27"/>
      <c r="E37" s="27"/>
      <c r="F37" s="38">
        <f t="shared" si="13"/>
      </c>
      <c r="G37" s="38">
        <f t="shared" si="0"/>
      </c>
      <c r="H37" s="38">
        <f t="shared" si="11"/>
      </c>
      <c r="I37" s="38">
        <f>IF(B37="",IF(B36="","",IF(D36="","",F36-D36)),IF(AND(C36="",D36=""),"",IF(AND(D36="",C36&lt;&gt;""),IF(I36&gt;F36,I36-C36,F36-C36),B$28-B37-SUM(D$28:D36))))</f>
      </c>
      <c r="K37">
        <f t="shared" si="12"/>
      </c>
      <c r="L37" s="38" t="e">
        <f ca="1" t="shared" si="3"/>
        <v>#VALUE!</v>
      </c>
      <c r="M37" s="38" t="e">
        <f t="shared" si="10"/>
        <v>#VALUE!</v>
      </c>
      <c r="N37" s="38">
        <f ca="1" t="shared" si="4"/>
        <v>0</v>
      </c>
      <c r="O37" s="49">
        <f t="shared" si="5"/>
        <v>25</v>
      </c>
      <c r="P37" s="49">
        <f t="shared" si="6"/>
        <v>25</v>
      </c>
      <c r="Q37" s="49">
        <f t="shared" si="7"/>
        <v>25</v>
      </c>
    </row>
    <row r="38" spans="1:17" ht="12">
      <c r="A38" s="27"/>
      <c r="B38" s="27"/>
      <c r="C38" s="27"/>
      <c r="D38" s="27"/>
      <c r="E38" s="27"/>
      <c r="F38" s="38">
        <f t="shared" si="13"/>
      </c>
      <c r="G38" s="38">
        <f t="shared" si="0"/>
      </c>
      <c r="H38" s="38">
        <f t="shared" si="11"/>
      </c>
      <c r="I38" s="38">
        <f>IF(B38="",IF(B37="","",IF(D37="","",F37-D37)),IF(AND(C37="",D37=""),"",IF(AND(D37="",C37&lt;&gt;""),IF(I37&gt;F37,I37-C37,F37-C37),B$28-B38-SUM(D$28:D37))))</f>
      </c>
      <c r="K38">
        <f t="shared" si="12"/>
      </c>
      <c r="L38" s="38" t="e">
        <f ca="1" t="shared" si="3"/>
        <v>#VALUE!</v>
      </c>
      <c r="M38" s="38" t="e">
        <f t="shared" si="10"/>
        <v>#VALUE!</v>
      </c>
      <c r="N38" s="38">
        <f ca="1" t="shared" si="4"/>
        <v>0</v>
      </c>
      <c r="O38" s="49">
        <f t="shared" si="5"/>
        <v>25</v>
      </c>
      <c r="P38" s="49">
        <f t="shared" si="6"/>
        <v>25</v>
      </c>
      <c r="Q38" s="49">
        <f t="shared" si="7"/>
        <v>25</v>
      </c>
    </row>
    <row r="39" spans="1:17" ht="12">
      <c r="A39" s="27"/>
      <c r="B39" s="27"/>
      <c r="C39" s="27"/>
      <c r="D39" s="27"/>
      <c r="E39" s="27"/>
      <c r="F39" s="38">
        <f t="shared" si="13"/>
      </c>
      <c r="G39" s="38">
        <f t="shared" si="0"/>
      </c>
      <c r="H39" s="38">
        <f t="shared" si="11"/>
      </c>
      <c r="I39" s="38">
        <f>IF(B39="",IF(B38="","",IF(D38="","",F38-D38)),IF(AND(C38="",D38=""),"",IF(AND(D38="",C38&lt;&gt;""),IF(I38&gt;F38,I38-C38,F38-C38),B$28-B39-SUM(D$28:D38))))</f>
      </c>
      <c r="K39">
        <f t="shared" si="12"/>
      </c>
      <c r="L39" s="38" t="e">
        <f ca="1" t="shared" si="3"/>
        <v>#VALUE!</v>
      </c>
      <c r="M39" s="38" t="e">
        <f t="shared" si="10"/>
        <v>#VALUE!</v>
      </c>
      <c r="N39" s="38">
        <f ca="1" t="shared" si="4"/>
        <v>0</v>
      </c>
      <c r="O39" s="49">
        <f t="shared" si="5"/>
        <v>25</v>
      </c>
      <c r="P39" s="49">
        <f t="shared" si="6"/>
        <v>25</v>
      </c>
      <c r="Q39" s="49">
        <f t="shared" si="7"/>
        <v>25</v>
      </c>
    </row>
    <row r="40" spans="1:17" ht="12">
      <c r="A40" s="27"/>
      <c r="B40" s="27"/>
      <c r="C40" s="27"/>
      <c r="D40" s="91"/>
      <c r="E40" s="27"/>
      <c r="F40" s="38">
        <f t="shared" si="13"/>
      </c>
      <c r="G40" s="38">
        <f t="shared" si="0"/>
      </c>
      <c r="H40" s="38">
        <f t="shared" si="11"/>
      </c>
      <c r="I40" s="38">
        <f>IF(B40="",IF(B39="","",IF(D39="","",F39-D39)),IF(AND(C39="",D39=""),"",IF(AND(D39="",C39&lt;&gt;""),IF(I39&gt;F39,I39-C39,F39-C39),B$28-B40-SUM(D$28:D39))))</f>
      </c>
      <c r="K40">
        <f t="shared" si="12"/>
      </c>
      <c r="L40" s="38" t="e">
        <f ca="1" t="shared" si="3"/>
        <v>#VALUE!</v>
      </c>
      <c r="M40" s="38" t="e">
        <f t="shared" si="10"/>
        <v>#VALUE!</v>
      </c>
      <c r="N40" s="38">
        <f ca="1" t="shared" si="4"/>
        <v>0</v>
      </c>
      <c r="O40" s="49">
        <f t="shared" si="5"/>
        <v>25</v>
      </c>
      <c r="P40" s="49">
        <f t="shared" si="6"/>
        <v>25</v>
      </c>
      <c r="Q40" s="49">
        <f t="shared" si="7"/>
        <v>25</v>
      </c>
    </row>
    <row r="41" spans="1:17" ht="12">
      <c r="A41" s="27"/>
      <c r="B41" s="27"/>
      <c r="C41" s="27"/>
      <c r="D41" s="91"/>
      <c r="E41" s="27"/>
      <c r="F41" s="38">
        <f t="shared" si="13"/>
      </c>
      <c r="G41" s="38">
        <f t="shared" si="0"/>
      </c>
      <c r="H41" s="38">
        <f t="shared" si="11"/>
      </c>
      <c r="I41" s="38">
        <f>IF(B41="",IF(B40="","",IF(D40="","",F40-D40)),IF(AND(C40="",D40=""),"",IF(AND(D40="",C40&lt;&gt;""),IF(I40&gt;F40,I40-C40,F40-C40),B$28-B41-SUM(D$28:D40))))</f>
      </c>
      <c r="K41">
        <f t="shared" si="12"/>
      </c>
      <c r="L41" s="38" t="e">
        <f ca="1" t="shared" si="3"/>
        <v>#VALUE!</v>
      </c>
      <c r="M41" s="38" t="e">
        <f t="shared" si="10"/>
        <v>#VALUE!</v>
      </c>
      <c r="N41" s="38">
        <f ca="1" t="shared" si="4"/>
        <v>0</v>
      </c>
      <c r="O41" s="49">
        <f t="shared" si="5"/>
        <v>25</v>
      </c>
      <c r="P41" s="49">
        <f t="shared" si="6"/>
        <v>25</v>
      </c>
      <c r="Q41" s="49">
        <f t="shared" si="7"/>
        <v>25</v>
      </c>
    </row>
    <row r="42" spans="1:17" ht="12">
      <c r="A42" s="27"/>
      <c r="B42" s="27"/>
      <c r="C42" s="27"/>
      <c r="D42" s="91"/>
      <c r="E42" s="27"/>
      <c r="F42" s="38">
        <f t="shared" si="13"/>
      </c>
      <c r="G42" s="38">
        <f t="shared" si="0"/>
      </c>
      <c r="H42" s="38">
        <f t="shared" si="11"/>
      </c>
      <c r="I42" s="38">
        <f>IF(B42="",IF(B41="","",IF(D41="","",F41-D41)),IF(AND(C41="",D41=""),"",IF(AND(D41="",C41&lt;&gt;""),IF(I41&gt;F41,I41-C41,F41-C41),B$28-B42-SUM(D$28:D41))))</f>
      </c>
      <c r="K42">
        <f t="shared" si="12"/>
      </c>
      <c r="L42" s="38" t="e">
        <f ca="1" t="shared" si="3"/>
        <v>#VALUE!</v>
      </c>
      <c r="M42" s="38" t="e">
        <f t="shared" si="10"/>
        <v>#VALUE!</v>
      </c>
      <c r="N42" s="38">
        <f ca="1" t="shared" si="4"/>
        <v>0</v>
      </c>
      <c r="O42" s="49">
        <f t="shared" si="5"/>
        <v>25</v>
      </c>
      <c r="P42" s="49">
        <f t="shared" si="6"/>
        <v>25</v>
      </c>
      <c r="Q42" s="49">
        <f t="shared" si="7"/>
        <v>25</v>
      </c>
    </row>
    <row r="43" spans="1:17" ht="12">
      <c r="A43" s="27"/>
      <c r="B43" s="27"/>
      <c r="C43" s="27"/>
      <c r="D43" s="91"/>
      <c r="E43" s="27"/>
      <c r="F43" s="38">
        <f t="shared" si="13"/>
      </c>
      <c r="G43" s="38">
        <f t="shared" si="0"/>
      </c>
      <c r="H43" s="38">
        <f t="shared" si="11"/>
      </c>
      <c r="I43" s="38">
        <f>IF(B43="",IF(B42="","",IF(D42="","",F42-D42)),IF(AND(C42="",D42=""),"",IF(AND(D42="",C42&lt;&gt;""),IF(I42&gt;F42,I42-C42,F42-C42),B$28-B43-SUM(D$28:D42))))</f>
      </c>
      <c r="K43">
        <f t="shared" si="12"/>
      </c>
      <c r="L43" s="38" t="e">
        <f ca="1" t="shared" si="3"/>
        <v>#VALUE!</v>
      </c>
      <c r="M43" s="38" t="e">
        <f t="shared" si="10"/>
        <v>#VALUE!</v>
      </c>
      <c r="N43" s="38">
        <f ca="1" t="shared" si="4"/>
        <v>0</v>
      </c>
      <c r="O43" s="49">
        <f t="shared" si="5"/>
        <v>25</v>
      </c>
      <c r="P43" s="49">
        <f t="shared" si="6"/>
        <v>25</v>
      </c>
      <c r="Q43" s="49">
        <f t="shared" si="7"/>
        <v>25</v>
      </c>
    </row>
    <row r="44" spans="1:17" ht="12">
      <c r="A44" s="27"/>
      <c r="B44" s="27"/>
      <c r="C44" s="27"/>
      <c r="D44" s="91"/>
      <c r="E44" s="27"/>
      <c r="F44" s="38">
        <f t="shared" si="13"/>
      </c>
      <c r="G44" s="38">
        <f t="shared" si="0"/>
      </c>
      <c r="H44" s="38">
        <f t="shared" si="11"/>
      </c>
      <c r="I44" s="38">
        <f>IF(B44="",IF(B43="","",IF(D43="","",F43-D43)),IF(AND(C43="",D43=""),"",IF(AND(D43="",C43&lt;&gt;""),IF(I43&gt;F43,I43-C43,F43-C43),B$28-B44-SUM(D$28:D43))))</f>
      </c>
      <c r="K44">
        <f t="shared" si="12"/>
      </c>
      <c r="L44" s="38" t="e">
        <f ca="1" t="shared" si="3"/>
        <v>#VALUE!</v>
      </c>
      <c r="M44" s="38" t="e">
        <f t="shared" si="10"/>
        <v>#VALUE!</v>
      </c>
      <c r="N44" s="38">
        <f ca="1" t="shared" si="4"/>
        <v>0</v>
      </c>
      <c r="O44" s="49">
        <f t="shared" si="5"/>
        <v>25</v>
      </c>
      <c r="P44" s="49">
        <f t="shared" si="6"/>
        <v>25</v>
      </c>
      <c r="Q44" s="49">
        <f t="shared" si="7"/>
        <v>25</v>
      </c>
    </row>
    <row r="45" spans="1:17" ht="12">
      <c r="A45" s="27"/>
      <c r="B45" s="27"/>
      <c r="C45" s="27"/>
      <c r="D45" s="91"/>
      <c r="E45" s="27"/>
      <c r="F45" s="38">
        <f t="shared" si="13"/>
      </c>
      <c r="G45" s="38">
        <f t="shared" si="0"/>
      </c>
      <c r="H45" s="38">
        <f t="shared" si="11"/>
      </c>
      <c r="I45" s="38">
        <f>IF(B45="",IF(B44="","",IF(D44="","",F44-D44)),IF(AND(C44="",D44=""),"",IF(AND(D44="",C44&lt;&gt;""),IF(I44&gt;F44,I44-C44,F44-C44),B$28-B45-SUM(D$28:D44))))</f>
      </c>
      <c r="K45">
        <f t="shared" si="12"/>
      </c>
      <c r="L45" s="38" t="e">
        <f ca="1" t="shared" si="3"/>
        <v>#VALUE!</v>
      </c>
      <c r="M45" s="38" t="e">
        <f t="shared" si="10"/>
        <v>#VALUE!</v>
      </c>
      <c r="N45" s="38">
        <f ca="1" t="shared" si="4"/>
        <v>0</v>
      </c>
      <c r="O45" s="49">
        <f t="shared" si="5"/>
        <v>25</v>
      </c>
      <c r="P45" s="49">
        <f t="shared" si="6"/>
        <v>25</v>
      </c>
      <c r="Q45" s="49">
        <f t="shared" si="7"/>
        <v>25</v>
      </c>
    </row>
    <row r="46" spans="1:17" ht="12">
      <c r="A46" s="27"/>
      <c r="B46" s="27"/>
      <c r="C46" s="27"/>
      <c r="D46" s="91"/>
      <c r="E46" s="27"/>
      <c r="F46" s="38">
        <f t="shared" si="13"/>
      </c>
      <c r="G46" s="38">
        <f t="shared" si="0"/>
      </c>
      <c r="H46" s="38">
        <f t="shared" si="11"/>
      </c>
      <c r="I46" s="38">
        <f>IF(B46="",IF(B45="","",IF(D45="","",F45-D45)),IF(AND(C45="",D45=""),"",IF(AND(D45="",C45&lt;&gt;""),IF(I45&gt;F45,I45-C45,F45-C45),B$28-B46-SUM(D$28:D45))))</f>
      </c>
      <c r="K46">
        <f t="shared" si="12"/>
      </c>
      <c r="L46" s="38" t="e">
        <f ca="1" t="shared" si="3"/>
        <v>#VALUE!</v>
      </c>
      <c r="M46" s="38" t="e">
        <f t="shared" si="10"/>
        <v>#VALUE!</v>
      </c>
      <c r="N46" s="38">
        <f ca="1" t="shared" si="4"/>
        <v>0</v>
      </c>
      <c r="O46" s="49">
        <f t="shared" si="5"/>
        <v>25</v>
      </c>
      <c r="P46" s="49">
        <f t="shared" si="6"/>
        <v>25</v>
      </c>
      <c r="Q46" s="49">
        <f t="shared" si="7"/>
        <v>25</v>
      </c>
    </row>
    <row r="47" spans="1:17" ht="12">
      <c r="A47" s="27"/>
      <c r="B47" s="27"/>
      <c r="C47" s="27"/>
      <c r="D47" s="91"/>
      <c r="E47" s="27"/>
      <c r="F47" s="38">
        <f t="shared" si="13"/>
      </c>
      <c r="G47" s="38">
        <f t="shared" si="0"/>
      </c>
      <c r="H47" s="38">
        <f t="shared" si="11"/>
      </c>
      <c r="I47" s="38">
        <f>IF(B47="",IF(B46="","",IF(D46="","",F46-D46)),IF(AND(C46="",D46=""),"",IF(AND(D46="",C46&lt;&gt;""),IF(I46&gt;F46,I46-C46,F46-C46),B$28-B47-SUM(D$28:D46))))</f>
      </c>
      <c r="K47">
        <f t="shared" si="12"/>
      </c>
      <c r="L47" s="38" t="e">
        <f ca="1" t="shared" si="3"/>
        <v>#VALUE!</v>
      </c>
      <c r="M47" s="38" t="e">
        <f t="shared" si="10"/>
        <v>#VALUE!</v>
      </c>
      <c r="N47" s="38">
        <f ca="1" t="shared" si="4"/>
        <v>0</v>
      </c>
      <c r="O47" s="49">
        <f t="shared" si="5"/>
        <v>25</v>
      </c>
      <c r="P47" s="49">
        <f t="shared" si="6"/>
        <v>25</v>
      </c>
      <c r="Q47" s="49">
        <f t="shared" si="7"/>
        <v>25</v>
      </c>
    </row>
    <row r="48" spans="1:17" ht="12">
      <c r="A48" s="27"/>
      <c r="B48" s="27"/>
      <c r="C48" s="27"/>
      <c r="D48" s="91"/>
      <c r="E48" s="27"/>
      <c r="F48" s="38">
        <f t="shared" si="13"/>
      </c>
      <c r="G48" s="38">
        <f t="shared" si="0"/>
      </c>
      <c r="H48" s="38">
        <f t="shared" si="11"/>
      </c>
      <c r="I48" s="38">
        <f>IF(B48="",IF(B47="","",IF(D47="","",F47-D47)),IF(AND(C47="",D47=""),"",IF(AND(D47="",C47&lt;&gt;""),IF(I47&gt;F47,I47-C47,F47-C47),B$28-B48-SUM(D$28:D47))))</f>
      </c>
      <c r="K48">
        <f t="shared" si="12"/>
      </c>
      <c r="L48" s="38" t="e">
        <f ca="1" t="shared" si="3"/>
        <v>#VALUE!</v>
      </c>
      <c r="M48" s="38" t="e">
        <f t="shared" si="10"/>
        <v>#VALUE!</v>
      </c>
      <c r="N48" s="38">
        <f ca="1" t="shared" si="4"/>
        <v>0</v>
      </c>
      <c r="O48" s="49">
        <f t="shared" si="5"/>
        <v>25</v>
      </c>
      <c r="P48" s="49">
        <f t="shared" si="6"/>
        <v>25</v>
      </c>
      <c r="Q48" s="49">
        <f t="shared" si="7"/>
        <v>25</v>
      </c>
    </row>
    <row r="49" spans="1:17" ht="12">
      <c r="A49" s="27"/>
      <c r="B49" s="27"/>
      <c r="C49" s="27"/>
      <c r="D49" s="91"/>
      <c r="E49" s="27"/>
      <c r="F49" s="38">
        <f t="shared" si="13"/>
      </c>
      <c r="G49" s="38">
        <f t="shared" si="0"/>
      </c>
      <c r="H49" s="38">
        <f t="shared" si="11"/>
      </c>
      <c r="I49" s="38">
        <f>IF(B49="",IF(B48="","",IF(D48="","",F48-D48)),IF(AND(C48="",D48=""),"",IF(AND(D48="",C48&lt;&gt;""),IF(I48&gt;F48,I48-C48,F48-C48),B$28-B49-SUM(D$28:D48))))</f>
      </c>
      <c r="K49">
        <f t="shared" si="12"/>
      </c>
      <c r="L49" s="38" t="e">
        <f ca="1" t="shared" si="3"/>
        <v>#VALUE!</v>
      </c>
      <c r="M49" s="38" t="e">
        <f t="shared" si="10"/>
        <v>#VALUE!</v>
      </c>
      <c r="N49" s="38">
        <f ca="1" t="shared" si="4"/>
        <v>0</v>
      </c>
      <c r="O49" s="49">
        <f t="shared" si="5"/>
        <v>25</v>
      </c>
      <c r="P49" s="49">
        <f t="shared" si="6"/>
        <v>25</v>
      </c>
      <c r="Q49" s="49">
        <f t="shared" si="7"/>
        <v>25</v>
      </c>
    </row>
    <row r="50" spans="1:17" ht="12">
      <c r="A50" s="27"/>
      <c r="B50" s="27"/>
      <c r="C50" s="27"/>
      <c r="D50" s="91"/>
      <c r="E50" s="27"/>
      <c r="F50" s="38">
        <f t="shared" si="13"/>
      </c>
      <c r="G50" s="38">
        <f t="shared" si="0"/>
      </c>
      <c r="H50" s="38">
        <f t="shared" si="11"/>
      </c>
      <c r="I50" s="38">
        <f>IF(B50="",IF(B49="","",IF(D49="","",F49-D49)),IF(AND(C49="",D49=""),"",IF(AND(D49="",C49&lt;&gt;""),IF(I49&gt;F49,I49-C49,F49-C49),B$28-B50-SUM(D$28:D49))))</f>
      </c>
      <c r="K50">
        <f t="shared" si="12"/>
      </c>
      <c r="L50" s="38" t="e">
        <f ca="1" t="shared" si="3"/>
        <v>#VALUE!</v>
      </c>
      <c r="M50" s="38" t="e">
        <f t="shared" si="10"/>
        <v>#VALUE!</v>
      </c>
      <c r="N50" s="38">
        <f ca="1" t="shared" si="4"/>
        <v>0</v>
      </c>
      <c r="O50" s="49">
        <f t="shared" si="5"/>
        <v>25</v>
      </c>
      <c r="P50" s="49">
        <f t="shared" si="6"/>
        <v>25</v>
      </c>
      <c r="Q50" s="49">
        <f t="shared" si="7"/>
        <v>25</v>
      </c>
    </row>
    <row r="51" spans="1:17" ht="12">
      <c r="A51" s="27"/>
      <c r="B51" s="27"/>
      <c r="C51" s="27"/>
      <c r="D51" s="91"/>
      <c r="E51" s="27"/>
      <c r="F51" s="38">
        <f t="shared" si="13"/>
      </c>
      <c r="G51" s="38">
        <f t="shared" si="0"/>
      </c>
      <c r="H51" s="38">
        <f t="shared" si="11"/>
      </c>
      <c r="I51" s="38">
        <f>IF(B51="",IF(B50="","",IF(D50="","",F50-D50)),IF(AND(C50="",D50=""),"",IF(AND(D50="",C50&lt;&gt;""),IF(I50&gt;F50,I50-C50,F50-C50),B$28-B51-SUM(D$28:D50))))</f>
      </c>
      <c r="K51">
        <f t="shared" si="12"/>
      </c>
      <c r="L51" s="38" t="e">
        <f ca="1" t="shared" si="3"/>
        <v>#VALUE!</v>
      </c>
      <c r="M51" s="38" t="e">
        <f t="shared" si="10"/>
        <v>#VALUE!</v>
      </c>
      <c r="N51" s="38">
        <f ca="1" t="shared" si="4"/>
        <v>0</v>
      </c>
      <c r="O51" s="49">
        <f t="shared" si="5"/>
        <v>25</v>
      </c>
      <c r="P51" s="49">
        <f t="shared" si="6"/>
        <v>25</v>
      </c>
      <c r="Q51" s="49">
        <f t="shared" si="7"/>
        <v>25</v>
      </c>
    </row>
  </sheetData>
  <mergeCells count="5">
    <mergeCell ref="A8:B8"/>
    <mergeCell ref="A18:B18"/>
    <mergeCell ref="G27:H27"/>
    <mergeCell ref="O26:Q26"/>
    <mergeCell ref="F26:N26"/>
  </mergeCells>
  <conditionalFormatting sqref="K27:N27 A27:G27 F26 I27 O26:O27 P27:Q27">
    <cfRule type="expression" priority="1" dxfId="3" stopIfTrue="1">
      <formula>$D26="Done"</formula>
    </cfRule>
    <cfRule type="expression" priority="2" dxfId="4" stopIfTrue="1">
      <formula>$D26="Ongoing"</formula>
    </cfRule>
    <cfRule type="expression" priority="3" dxfId="5" stopIfTrue="1">
      <formula>$D26="Removed"</formula>
    </cfRule>
  </conditionalFormatting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87"/>
  <sheetViews>
    <sheetView workbookViewId="0" topLeftCell="A1">
      <pane ySplit="14" topLeftCell="A15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49.28125" style="26" bestFit="1" customWidth="1"/>
    <col min="2" max="2" width="8.421875" style="25" customWidth="1"/>
    <col min="3" max="3" width="13.7109375" style="26" customWidth="1"/>
    <col min="4" max="4" width="10.8515625" style="26" customWidth="1"/>
    <col min="5" max="5" width="6.421875" style="25" customWidth="1"/>
    <col min="6" max="30" width="4.421875" style="25" customWidth="1"/>
    <col min="31" max="16384" width="9.140625" style="26" customWidth="1"/>
  </cols>
  <sheetData>
    <row r="1" spans="1:30" ht="18">
      <c r="A1" s="50">
        <v>1</v>
      </c>
      <c r="B1" s="5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5:30" ht="12.75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ht="12.75"/>
    <row r="4" ht="12.75"/>
    <row r="5" ht="12.75"/>
    <row r="6" ht="12.75"/>
    <row r="7" ht="12.75"/>
    <row r="8" ht="12.75"/>
    <row r="9" spans="1:30" ht="12.75">
      <c r="A9" s="52" t="s">
        <v>74</v>
      </c>
      <c r="B9" s="53">
        <v>5</v>
      </c>
      <c r="C9" s="52"/>
      <c r="D9" s="54"/>
      <c r="E9" s="52" t="s">
        <v>71</v>
      </c>
      <c r="F9" s="52" t="s">
        <v>73</v>
      </c>
      <c r="G9" s="52"/>
      <c r="H9" s="52"/>
      <c r="I9" s="52"/>
      <c r="J9" s="52"/>
      <c r="K9" s="52"/>
      <c r="L9" s="52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2.75">
      <c r="A10" s="52" t="s">
        <v>89</v>
      </c>
      <c r="B10" s="53">
        <v>5</v>
      </c>
      <c r="C10" s="52" t="s">
        <v>90</v>
      </c>
      <c r="D10" s="52" t="s">
        <v>77</v>
      </c>
      <c r="E10" s="55">
        <f ca="1">SUM(OFFSET(E14,1,0,TaskRows,1))</f>
        <v>5</v>
      </c>
      <c r="F10" s="55">
        <f ca="1">IF(AND(SUM(OFFSET(F14,1,0,TaskRows,1))=0),0,SUM(OFFSET(F14,1,0,TaskRows,1)))</f>
        <v>5</v>
      </c>
      <c r="G10" s="55">
        <f aca="true" ca="1" t="shared" si="0" ref="G10:AD10">IF(AND(SUM(OFFSET(G14,1,0,TaskRows,1))=0),"",SUM(OFFSET(G14,1,0,TaskRows,1)))</f>
        <v>2</v>
      </c>
      <c r="H10" s="55">
        <f ca="1" t="shared" si="0"/>
      </c>
      <c r="I10" s="55">
        <f ca="1" t="shared" si="0"/>
      </c>
      <c r="J10" s="55">
        <f ca="1" t="shared" si="0"/>
      </c>
      <c r="K10" s="55">
        <f ca="1" t="shared" si="0"/>
      </c>
      <c r="L10" s="55">
        <f ca="1" t="shared" si="0"/>
      </c>
      <c r="M10" s="55">
        <f ca="1" t="shared" si="0"/>
      </c>
      <c r="N10" s="55">
        <f ca="1" t="shared" si="0"/>
      </c>
      <c r="O10" s="55">
        <f ca="1" t="shared" si="0"/>
      </c>
      <c r="P10" s="55">
        <f ca="1" t="shared" si="0"/>
      </c>
      <c r="Q10" s="55">
        <f ca="1" t="shared" si="0"/>
      </c>
      <c r="R10" s="55">
        <f ca="1" t="shared" si="0"/>
      </c>
      <c r="S10" s="55">
        <f ca="1" t="shared" si="0"/>
      </c>
      <c r="T10" s="55">
        <f ca="1" t="shared" si="0"/>
      </c>
      <c r="U10" s="55">
        <f ca="1" t="shared" si="0"/>
      </c>
      <c r="V10" s="55">
        <f ca="1" t="shared" si="0"/>
      </c>
      <c r="W10" s="55">
        <f ca="1" t="shared" si="0"/>
      </c>
      <c r="X10" s="55">
        <f ca="1" t="shared" si="0"/>
      </c>
      <c r="Y10" s="55">
        <f ca="1" t="shared" si="0"/>
      </c>
      <c r="Z10" s="55">
        <f ca="1" t="shared" si="0"/>
      </c>
      <c r="AA10" s="55">
        <f ca="1" t="shared" si="0"/>
      </c>
      <c r="AB10" s="55">
        <f ca="1" t="shared" si="0"/>
      </c>
      <c r="AC10" s="55">
        <f ca="1" t="shared" si="0"/>
      </c>
      <c r="AD10" s="55">
        <f ca="1" t="shared" si="0"/>
      </c>
    </row>
    <row r="11" spans="1:30" ht="12" hidden="1">
      <c r="A11" t="s">
        <v>82</v>
      </c>
      <c r="B11" s="2">
        <f>IF(COUNTA(A15:A242)=0,1,COUNTA(A15:A242))</f>
        <v>1</v>
      </c>
      <c r="C11" t="s">
        <v>83</v>
      </c>
      <c r="D11" s="2">
        <f>IF(COUNTIF(F10:AD10,"&gt;0")=0,1,COUNTIF(F10:AD10,"&gt;0"))</f>
        <v>2</v>
      </c>
      <c r="E11" s="2"/>
      <c r="F11" s="2">
        <f>IF(F14="","",$E10-$E10/($B9-1)*(F14-1))</f>
        <v>5</v>
      </c>
      <c r="G11" s="2">
        <f aca="true" t="shared" si="1" ref="G11:AD11">IF(G14="","",TotalEffort-TotalEffort/(ImplementationDays)*(G14-1))</f>
        <v>4</v>
      </c>
      <c r="H11" s="2">
        <f t="shared" si="1"/>
        <v>3</v>
      </c>
      <c r="I11" s="2">
        <f t="shared" si="1"/>
        <v>2</v>
      </c>
      <c r="J11" s="2">
        <f t="shared" si="1"/>
        <v>1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C12" t="s">
        <v>84</v>
      </c>
      <c r="D12" s="2"/>
      <c r="E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5</v>
      </c>
      <c r="G12" s="2">
        <f ca="1" t="shared" si="2"/>
        <v>1.9999999999999991</v>
      </c>
      <c r="H12" s="2">
        <f ca="1" t="shared" si="2"/>
      </c>
      <c r="I12" s="2">
        <f ca="1" t="shared" si="2"/>
      </c>
      <c r="J12" s="2">
        <f ca="1" t="shared" si="2"/>
      </c>
      <c r="K12" s="2">
        <f ca="1" t="shared" si="2"/>
      </c>
      <c r="L12" s="2">
        <f ca="1" t="shared" si="2"/>
      </c>
      <c r="M12" s="2">
        <f ca="1" t="shared" si="2"/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" hidden="1">
      <c r="A13" s="39" t="s">
        <v>87</v>
      </c>
      <c r="C13" t="s">
        <v>85</v>
      </c>
      <c r="D13" s="2">
        <f>IF(DoneDays&gt;B10,B10,DoneDays)</f>
        <v>2</v>
      </c>
      <c r="E13" s="2"/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52" t="s">
        <v>69</v>
      </c>
      <c r="B14" s="56" t="s">
        <v>81</v>
      </c>
      <c r="C14" s="52" t="s">
        <v>70</v>
      </c>
      <c r="D14" s="52" t="s">
        <v>65</v>
      </c>
      <c r="E14" s="56" t="s">
        <v>72</v>
      </c>
      <c r="F14" s="56">
        <v>1</v>
      </c>
      <c r="G14" s="56">
        <f aca="true" t="shared" si="3" ref="G14:AD14">IF($B$9&gt;F14,F14+1,"")</f>
        <v>2</v>
      </c>
      <c r="H14" s="56">
        <f t="shared" si="3"/>
        <v>3</v>
      </c>
      <c r="I14" s="56">
        <f t="shared" si="3"/>
        <v>4</v>
      </c>
      <c r="J14" s="56">
        <f t="shared" si="3"/>
        <v>5</v>
      </c>
      <c r="K14" s="56">
        <f t="shared" si="3"/>
      </c>
      <c r="L14" s="56">
        <f t="shared" si="3"/>
      </c>
      <c r="M14" s="56">
        <f t="shared" si="3"/>
      </c>
      <c r="N14" s="56">
        <f t="shared" si="3"/>
      </c>
      <c r="O14" s="56">
        <f t="shared" si="3"/>
      </c>
      <c r="P14" s="56">
        <f t="shared" si="3"/>
      </c>
      <c r="Q14" s="56">
        <f t="shared" si="3"/>
      </c>
      <c r="R14" s="56">
        <f t="shared" si="3"/>
      </c>
      <c r="S14" s="56">
        <f t="shared" si="3"/>
      </c>
      <c r="T14" s="56">
        <f t="shared" si="3"/>
      </c>
      <c r="U14" s="56">
        <f t="shared" si="3"/>
      </c>
      <c r="V14" s="56">
        <f t="shared" si="3"/>
      </c>
      <c r="W14" s="56">
        <f t="shared" si="3"/>
      </c>
      <c r="X14" s="56">
        <f t="shared" si="3"/>
      </c>
      <c r="Y14" s="56">
        <f t="shared" si="3"/>
      </c>
      <c r="Z14" s="56">
        <f t="shared" si="3"/>
      </c>
      <c r="AA14" s="56">
        <f t="shared" si="3"/>
      </c>
      <c r="AB14" s="56">
        <f t="shared" si="3"/>
      </c>
      <c r="AC14" s="56">
        <f t="shared" si="3"/>
      </c>
      <c r="AD14" s="56">
        <f t="shared" si="3"/>
      </c>
    </row>
    <row r="15" spans="1:9" ht="12.75">
      <c r="A15" t="s">
        <v>144</v>
      </c>
      <c r="B15" s="2">
        <v>6</v>
      </c>
      <c r="C15" t="s">
        <v>132</v>
      </c>
      <c r="D15" t="s">
        <v>23</v>
      </c>
      <c r="E15" s="2">
        <v>5</v>
      </c>
      <c r="F15" s="2">
        <f>IF(OR(F$14="",$E15=""),"",E15)</f>
        <v>5</v>
      </c>
      <c r="G15" s="2">
        <v>2</v>
      </c>
      <c r="H15" s="2">
        <v>0</v>
      </c>
      <c r="I15" s="2"/>
    </row>
    <row r="16" spans="1:9" ht="12.75">
      <c r="A16"/>
      <c r="B16" s="2"/>
      <c r="C16"/>
      <c r="D16"/>
      <c r="E16" s="2"/>
      <c r="F16" s="2"/>
      <c r="G16" s="2"/>
      <c r="H16" s="2"/>
      <c r="I16" s="2"/>
    </row>
    <row r="17" spans="1:9" ht="12.75">
      <c r="A17"/>
      <c r="B17" s="2"/>
      <c r="C17"/>
      <c r="D17"/>
      <c r="E17" s="2"/>
      <c r="F17" s="2"/>
      <c r="G17" s="2"/>
      <c r="H17" s="2"/>
      <c r="I17" s="2"/>
    </row>
    <row r="18" spans="1:9" ht="12.75">
      <c r="A18"/>
      <c r="B18" s="2"/>
      <c r="C18"/>
      <c r="D18"/>
      <c r="E18" s="2"/>
      <c r="F18" s="2"/>
      <c r="G18" s="2"/>
      <c r="H18" s="2"/>
      <c r="I18" s="2"/>
    </row>
    <row r="19" spans="1:30" ht="12.75">
      <c r="A19" s="23"/>
      <c r="C19"/>
      <c r="AC19" s="25">
        <f aca="true" t="shared" si="4" ref="AC19:AD34">IF(OR(AC$14="",$E19=""),"",AB19)</f>
      </c>
      <c r="AD19" s="25">
        <f t="shared" si="4"/>
      </c>
    </row>
    <row r="20" spans="1:30" ht="12.75">
      <c r="A20" s="23"/>
      <c r="C20"/>
      <c r="AC20" s="25">
        <f t="shared" si="4"/>
      </c>
      <c r="AD20" s="25">
        <f t="shared" si="4"/>
      </c>
    </row>
    <row r="21" spans="1:30" ht="12">
      <c r="A21" s="23"/>
      <c r="C21"/>
      <c r="AC21" s="25">
        <f t="shared" si="4"/>
      </c>
      <c r="AD21" s="25">
        <f t="shared" si="4"/>
      </c>
    </row>
    <row r="22" spans="1:30" ht="12">
      <c r="A22" s="23"/>
      <c r="C22"/>
      <c r="AC22" s="25">
        <f t="shared" si="4"/>
      </c>
      <c r="AD22" s="25">
        <f t="shared" si="4"/>
      </c>
    </row>
    <row r="23" spans="1:30" ht="15" customHeight="1">
      <c r="A23" s="23"/>
      <c r="C23"/>
      <c r="AC23" s="25">
        <f t="shared" si="4"/>
      </c>
      <c r="AD23" s="25">
        <f t="shared" si="4"/>
      </c>
    </row>
    <row r="24" spans="1:30" ht="12">
      <c r="A24" s="23"/>
      <c r="C24"/>
      <c r="AC24" s="25">
        <f t="shared" si="4"/>
      </c>
      <c r="AD24" s="25">
        <f t="shared" si="4"/>
      </c>
    </row>
    <row r="25" spans="1:3" ht="12">
      <c r="A25" s="23"/>
      <c r="C25"/>
    </row>
    <row r="26" spans="1:30" ht="12">
      <c r="A26" s="23"/>
      <c r="C26"/>
      <c r="AC26" s="25">
        <f t="shared" si="4"/>
      </c>
      <c r="AD26" s="25">
        <f t="shared" si="4"/>
      </c>
    </row>
    <row r="27" spans="1:30" ht="12">
      <c r="A27" s="23"/>
      <c r="C27"/>
      <c r="AC27" s="25">
        <f t="shared" si="4"/>
      </c>
      <c r="AD27" s="25">
        <f t="shared" si="4"/>
      </c>
    </row>
    <row r="28" spans="1:30" ht="12">
      <c r="A28" s="23"/>
      <c r="C28"/>
      <c r="AC28" s="25">
        <f t="shared" si="4"/>
      </c>
      <c r="AD28" s="25">
        <f t="shared" si="4"/>
      </c>
    </row>
    <row r="29" spans="1:30" ht="12">
      <c r="A29" s="23"/>
      <c r="C29"/>
      <c r="AC29" s="25">
        <f t="shared" si="4"/>
      </c>
      <c r="AD29" s="25">
        <f t="shared" si="4"/>
      </c>
    </row>
    <row r="30" spans="1:30" ht="12">
      <c r="A30" s="23"/>
      <c r="C30"/>
      <c r="AC30" s="25">
        <f t="shared" si="4"/>
      </c>
      <c r="AD30" s="25">
        <f t="shared" si="4"/>
      </c>
    </row>
    <row r="31" spans="1:30" ht="12">
      <c r="A31" s="23"/>
      <c r="C31"/>
      <c r="AC31" s="25">
        <f t="shared" si="4"/>
      </c>
      <c r="AD31" s="25">
        <f t="shared" si="4"/>
      </c>
    </row>
    <row r="32" spans="1:30" ht="12">
      <c r="A32" s="23"/>
      <c r="C32"/>
      <c r="AC32" s="25">
        <f t="shared" si="4"/>
      </c>
      <c r="AD32" s="25">
        <f t="shared" si="4"/>
      </c>
    </row>
    <row r="33" spans="1:30" ht="12">
      <c r="A33" s="23"/>
      <c r="C33"/>
      <c r="AC33" s="25">
        <f t="shared" si="4"/>
      </c>
      <c r="AD33" s="25">
        <f t="shared" si="4"/>
      </c>
    </row>
    <row r="34" spans="1:30" ht="12">
      <c r="A34" s="23"/>
      <c r="C34"/>
      <c r="AC34" s="25">
        <f t="shared" si="4"/>
      </c>
      <c r="AD34" s="25">
        <f t="shared" si="4"/>
      </c>
    </row>
    <row r="35" spans="1:3" ht="12">
      <c r="A35" s="23"/>
      <c r="C35"/>
    </row>
    <row r="36" spans="1:30" ht="12">
      <c r="A36" s="23"/>
      <c r="C36"/>
      <c r="AC36" s="25">
        <f aca="true" t="shared" si="5" ref="AC36:AD40">IF(OR(AC$14="",$E36=""),"",AB36)</f>
      </c>
      <c r="AD36" s="25">
        <f t="shared" si="5"/>
      </c>
    </row>
    <row r="37" spans="1:30" ht="12">
      <c r="A37" s="23"/>
      <c r="C37"/>
      <c r="AC37" s="25">
        <f t="shared" si="5"/>
      </c>
      <c r="AD37" s="25">
        <f t="shared" si="5"/>
      </c>
    </row>
    <row r="38" spans="1:30" ht="12">
      <c r="A38" s="23"/>
      <c r="C38"/>
      <c r="AC38" s="25">
        <f t="shared" si="5"/>
      </c>
      <c r="AD38" s="25">
        <f t="shared" si="5"/>
      </c>
    </row>
    <row r="39" spans="1:30" ht="12">
      <c r="A39" s="23"/>
      <c r="C39"/>
      <c r="AC39" s="25">
        <f t="shared" si="5"/>
      </c>
      <c r="AD39" s="25">
        <f t="shared" si="5"/>
      </c>
    </row>
    <row r="40" spans="1:30" ht="12">
      <c r="A40" s="23"/>
      <c r="C40"/>
      <c r="AC40" s="25">
        <f t="shared" si="5"/>
      </c>
      <c r="AD40" s="25">
        <f t="shared" si="5"/>
      </c>
    </row>
    <row r="41" spans="1:30" ht="12">
      <c r="A41" s="23"/>
      <c r="C41"/>
      <c r="D41" s="26">
        <f aca="true" t="shared" si="6" ref="D41:D64">IF(A41&lt;&gt;"","Planned","")</f>
      </c>
      <c r="F41" s="25">
        <f aca="true" t="shared" si="7" ref="F41:F63">IF(OR(F$14="",$E41=""),"",E41)</f>
      </c>
      <c r="AC41" s="25">
        <f aca="true" t="shared" si="8" ref="AC41:AD59">IF(OR(AC$14="",$E41=""),"",AB41)</f>
      </c>
      <c r="AD41" s="25">
        <f t="shared" si="8"/>
      </c>
    </row>
    <row r="42" spans="3:30" ht="12">
      <c r="C42"/>
      <c r="D42" s="26">
        <f t="shared" si="6"/>
      </c>
      <c r="F42" s="25">
        <f t="shared" si="7"/>
      </c>
      <c r="AC42" s="25">
        <f t="shared" si="8"/>
      </c>
      <c r="AD42" s="25">
        <f t="shared" si="8"/>
      </c>
    </row>
    <row r="43" spans="3:30" ht="12">
      <c r="C43"/>
      <c r="D43" s="26">
        <f t="shared" si="6"/>
      </c>
      <c r="F43" s="25">
        <f t="shared" si="7"/>
      </c>
      <c r="AC43" s="25">
        <f t="shared" si="8"/>
      </c>
      <c r="AD43" s="25">
        <f t="shared" si="8"/>
      </c>
    </row>
    <row r="44" spans="3:30" ht="12">
      <c r="C44"/>
      <c r="D44" s="26">
        <f t="shared" si="6"/>
      </c>
      <c r="F44" s="25">
        <f t="shared" si="7"/>
      </c>
      <c r="AC44" s="25">
        <f t="shared" si="8"/>
      </c>
      <c r="AD44" s="25">
        <f t="shared" si="8"/>
      </c>
    </row>
    <row r="45" spans="3:30" ht="12">
      <c r="C45"/>
      <c r="D45" s="26">
        <f t="shared" si="6"/>
      </c>
      <c r="F45" s="25">
        <f t="shared" si="7"/>
      </c>
      <c r="AC45" s="25">
        <f t="shared" si="8"/>
      </c>
      <c r="AD45" s="25">
        <f t="shared" si="8"/>
      </c>
    </row>
    <row r="46" spans="3:30" ht="12">
      <c r="C46"/>
      <c r="D46" s="26">
        <f t="shared" si="6"/>
      </c>
      <c r="F46" s="25">
        <f t="shared" si="7"/>
      </c>
      <c r="AC46" s="25">
        <f t="shared" si="8"/>
      </c>
      <c r="AD46" s="25">
        <f t="shared" si="8"/>
      </c>
    </row>
    <row r="47" spans="3:30" ht="12">
      <c r="C47"/>
      <c r="D47" s="26">
        <f t="shared" si="6"/>
      </c>
      <c r="F47" s="25">
        <f t="shared" si="7"/>
      </c>
      <c r="AC47" s="25">
        <f t="shared" si="8"/>
      </c>
      <c r="AD47" s="25">
        <f t="shared" si="8"/>
      </c>
    </row>
    <row r="48" spans="3:30" ht="12">
      <c r="C48"/>
      <c r="D48" s="26">
        <f t="shared" si="6"/>
      </c>
      <c r="F48" s="25">
        <f t="shared" si="7"/>
      </c>
      <c r="AC48" s="25">
        <f t="shared" si="8"/>
      </c>
      <c r="AD48" s="25">
        <f t="shared" si="8"/>
      </c>
    </row>
    <row r="49" spans="3:30" ht="12">
      <c r="C49"/>
      <c r="D49" s="26">
        <f t="shared" si="6"/>
      </c>
      <c r="F49" s="25">
        <f t="shared" si="7"/>
      </c>
      <c r="AC49" s="25">
        <f t="shared" si="8"/>
      </c>
      <c r="AD49" s="25">
        <f t="shared" si="8"/>
      </c>
    </row>
    <row r="50" spans="3:30" ht="12">
      <c r="C50"/>
      <c r="D50" s="26">
        <f t="shared" si="6"/>
      </c>
      <c r="F50" s="25">
        <f t="shared" si="7"/>
      </c>
      <c r="AC50" s="25">
        <f t="shared" si="8"/>
      </c>
      <c r="AD50" s="25">
        <f t="shared" si="8"/>
      </c>
    </row>
    <row r="51" spans="3:30" ht="12">
      <c r="C51"/>
      <c r="D51" s="26">
        <f t="shared" si="6"/>
      </c>
      <c r="F51" s="25">
        <f t="shared" si="7"/>
      </c>
      <c r="AC51" s="25">
        <f t="shared" si="8"/>
      </c>
      <c r="AD51" s="25">
        <f t="shared" si="8"/>
      </c>
    </row>
    <row r="52" spans="3:30" ht="12">
      <c r="C52"/>
      <c r="D52" s="26">
        <f t="shared" si="6"/>
      </c>
      <c r="F52" s="25">
        <f t="shared" si="7"/>
      </c>
      <c r="AC52" s="25">
        <f t="shared" si="8"/>
      </c>
      <c r="AD52" s="25">
        <f t="shared" si="8"/>
      </c>
    </row>
    <row r="53" spans="3:30" ht="12">
      <c r="C53"/>
      <c r="D53" s="26">
        <f t="shared" si="6"/>
      </c>
      <c r="F53" s="25">
        <f t="shared" si="7"/>
      </c>
      <c r="AC53" s="25">
        <f t="shared" si="8"/>
      </c>
      <c r="AD53" s="25">
        <f t="shared" si="8"/>
      </c>
    </row>
    <row r="54" spans="3:30" ht="12">
      <c r="C54"/>
      <c r="D54" s="26">
        <f t="shared" si="6"/>
      </c>
      <c r="F54" s="25">
        <f t="shared" si="7"/>
      </c>
      <c r="AC54" s="25">
        <f t="shared" si="8"/>
      </c>
      <c r="AD54" s="25">
        <f t="shared" si="8"/>
      </c>
    </row>
    <row r="55" spans="3:30" ht="12">
      <c r="C55"/>
      <c r="D55" s="26">
        <f t="shared" si="6"/>
      </c>
      <c r="F55" s="25">
        <f t="shared" si="7"/>
      </c>
      <c r="AC55" s="25">
        <f t="shared" si="8"/>
      </c>
      <c r="AD55" s="25">
        <f t="shared" si="8"/>
      </c>
    </row>
    <row r="56" spans="3:30" ht="12">
      <c r="C56"/>
      <c r="D56" s="26">
        <f t="shared" si="6"/>
      </c>
      <c r="F56" s="25">
        <f t="shared" si="7"/>
      </c>
      <c r="AC56" s="25">
        <f t="shared" si="8"/>
      </c>
      <c r="AD56" s="25">
        <f t="shared" si="8"/>
      </c>
    </row>
    <row r="57" spans="3:30" ht="12">
      <c r="C57"/>
      <c r="D57" s="26">
        <f t="shared" si="6"/>
      </c>
      <c r="F57" s="25">
        <f t="shared" si="7"/>
      </c>
      <c r="AC57" s="25">
        <f t="shared" si="8"/>
      </c>
      <c r="AD57" s="25">
        <f t="shared" si="8"/>
      </c>
    </row>
    <row r="58" spans="3:30" ht="12">
      <c r="C58"/>
      <c r="D58" s="26">
        <f t="shared" si="6"/>
      </c>
      <c r="F58" s="25">
        <f t="shared" si="7"/>
      </c>
      <c r="AC58" s="25">
        <f t="shared" si="8"/>
      </c>
      <c r="AD58" s="25">
        <f t="shared" si="8"/>
      </c>
    </row>
    <row r="59" spans="3:30" ht="12">
      <c r="C59"/>
      <c r="D59" s="26">
        <f t="shared" si="6"/>
      </c>
      <c r="F59" s="25">
        <f t="shared" si="7"/>
      </c>
      <c r="AC59" s="25">
        <f t="shared" si="8"/>
      </c>
      <c r="AD59" s="25">
        <f t="shared" si="8"/>
      </c>
    </row>
    <row r="60" spans="3:30" ht="12">
      <c r="C60"/>
      <c r="D60" s="26">
        <f t="shared" si="6"/>
      </c>
      <c r="F60" s="25">
        <f t="shared" si="7"/>
      </c>
      <c r="AC60" s="25">
        <f aca="true" t="shared" si="9" ref="AC60:AD63">IF(OR(AC$14="",$E60=""),"",AB60)</f>
      </c>
      <c r="AD60" s="25">
        <f t="shared" si="9"/>
      </c>
    </row>
    <row r="61" spans="3:30" ht="12">
      <c r="C61"/>
      <c r="D61" s="26">
        <f t="shared" si="6"/>
      </c>
      <c r="F61" s="25">
        <f t="shared" si="7"/>
      </c>
      <c r="AC61" s="25">
        <f t="shared" si="9"/>
      </c>
      <c r="AD61" s="25">
        <f t="shared" si="9"/>
      </c>
    </row>
    <row r="62" spans="3:30" ht="12">
      <c r="C62"/>
      <c r="D62" s="26">
        <f t="shared" si="6"/>
      </c>
      <c r="F62" s="25">
        <f t="shared" si="7"/>
      </c>
      <c r="G62" s="25">
        <f aca="true" t="shared" si="10" ref="G62:AB62">IF(OR(G$14="",$E62=""),"",F62)</f>
      </c>
      <c r="H62" s="25">
        <f t="shared" si="10"/>
      </c>
      <c r="I62" s="25">
        <f t="shared" si="10"/>
      </c>
      <c r="J62" s="25">
        <f t="shared" si="10"/>
      </c>
      <c r="K62" s="25">
        <f t="shared" si="10"/>
      </c>
      <c r="L62" s="25">
        <f t="shared" si="10"/>
      </c>
      <c r="M62" s="25">
        <f t="shared" si="10"/>
      </c>
      <c r="N62" s="25">
        <f t="shared" si="10"/>
      </c>
      <c r="O62" s="25">
        <f t="shared" si="10"/>
      </c>
      <c r="P62" s="25">
        <f t="shared" si="10"/>
      </c>
      <c r="Q62" s="25">
        <f t="shared" si="10"/>
      </c>
      <c r="R62" s="25">
        <f t="shared" si="10"/>
      </c>
      <c r="S62" s="25">
        <f t="shared" si="10"/>
      </c>
      <c r="T62" s="25">
        <f t="shared" si="10"/>
      </c>
      <c r="U62" s="25">
        <f t="shared" si="10"/>
      </c>
      <c r="V62" s="25">
        <f t="shared" si="10"/>
      </c>
      <c r="W62" s="25">
        <f t="shared" si="10"/>
      </c>
      <c r="X62" s="25">
        <f t="shared" si="10"/>
      </c>
      <c r="Y62" s="25">
        <f t="shared" si="10"/>
      </c>
      <c r="Z62" s="25">
        <f t="shared" si="10"/>
      </c>
      <c r="AA62" s="25">
        <f t="shared" si="10"/>
      </c>
      <c r="AB62" s="25">
        <f t="shared" si="10"/>
      </c>
      <c r="AC62" s="25">
        <f t="shared" si="9"/>
      </c>
      <c r="AD62" s="25">
        <f t="shared" si="9"/>
      </c>
    </row>
    <row r="63" spans="3:30" ht="12">
      <c r="C63"/>
      <c r="D63" s="26">
        <f t="shared" si="6"/>
      </c>
      <c r="F63" s="25">
        <f t="shared" si="7"/>
      </c>
      <c r="G63" s="25">
        <f aca="true" t="shared" si="11" ref="G63:AB63">IF(OR(G$14="",$E63=""),"",F63)</f>
      </c>
      <c r="H63" s="25">
        <f t="shared" si="11"/>
      </c>
      <c r="I63" s="25">
        <f t="shared" si="11"/>
      </c>
      <c r="J63" s="25">
        <f t="shared" si="11"/>
      </c>
      <c r="K63" s="25">
        <f t="shared" si="11"/>
      </c>
      <c r="L63" s="25">
        <f t="shared" si="11"/>
      </c>
      <c r="M63" s="25">
        <f t="shared" si="11"/>
      </c>
      <c r="N63" s="25">
        <f t="shared" si="11"/>
      </c>
      <c r="O63" s="25">
        <f t="shared" si="11"/>
      </c>
      <c r="P63" s="25">
        <f t="shared" si="11"/>
      </c>
      <c r="Q63" s="25">
        <f t="shared" si="11"/>
      </c>
      <c r="R63" s="25">
        <f t="shared" si="11"/>
      </c>
      <c r="S63" s="25">
        <f t="shared" si="11"/>
      </c>
      <c r="T63" s="25">
        <f t="shared" si="11"/>
      </c>
      <c r="U63" s="25">
        <f t="shared" si="11"/>
      </c>
      <c r="V63" s="25">
        <f t="shared" si="11"/>
      </c>
      <c r="W63" s="25">
        <f t="shared" si="11"/>
      </c>
      <c r="X63" s="25">
        <f t="shared" si="11"/>
      </c>
      <c r="Y63" s="25">
        <f t="shared" si="11"/>
      </c>
      <c r="Z63" s="25">
        <f t="shared" si="11"/>
      </c>
      <c r="AA63" s="25">
        <f t="shared" si="11"/>
      </c>
      <c r="AB63" s="25">
        <f t="shared" si="11"/>
      </c>
      <c r="AC63" s="25">
        <f t="shared" si="9"/>
      </c>
      <c r="AD63" s="25">
        <f t="shared" si="9"/>
      </c>
    </row>
    <row r="64" spans="3:4" ht="12">
      <c r="C64"/>
      <c r="D64" s="26">
        <f t="shared" si="6"/>
      </c>
    </row>
    <row r="65" ht="12">
      <c r="C65"/>
    </row>
    <row r="66" ht="12">
      <c r="C66"/>
    </row>
    <row r="67" ht="12">
      <c r="C67"/>
    </row>
    <row r="68" ht="12">
      <c r="C68"/>
    </row>
    <row r="69" ht="12">
      <c r="C69"/>
    </row>
    <row r="70" ht="12">
      <c r="C70"/>
    </row>
    <row r="71" ht="12">
      <c r="C71"/>
    </row>
    <row r="72" ht="12">
      <c r="C72"/>
    </row>
    <row r="73" ht="12">
      <c r="C73"/>
    </row>
    <row r="74" ht="12">
      <c r="C74"/>
    </row>
    <row r="75" ht="12">
      <c r="C75"/>
    </row>
    <row r="76" ht="12">
      <c r="C76"/>
    </row>
    <row r="77" ht="12">
      <c r="C77"/>
    </row>
    <row r="78" ht="12">
      <c r="C78"/>
    </row>
    <row r="79" ht="12">
      <c r="C79"/>
    </row>
    <row r="80" ht="12">
      <c r="C80"/>
    </row>
    <row r="81" ht="12">
      <c r="C81"/>
    </row>
    <row r="82" ht="12">
      <c r="C82"/>
    </row>
    <row r="83" ht="12">
      <c r="C83"/>
    </row>
    <row r="84" ht="12">
      <c r="C84"/>
    </row>
    <row r="85" ht="12">
      <c r="C85"/>
    </row>
    <row r="86" ht="12">
      <c r="C86"/>
    </row>
    <row r="87" ht="12">
      <c r="C87"/>
    </row>
  </sheetData>
  <conditionalFormatting sqref="A15:AD58">
    <cfRule type="expression" priority="1" dxfId="3" stopIfTrue="1">
      <formula>$D15="Done"</formula>
    </cfRule>
    <cfRule type="expression" priority="2" dxfId="4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2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74</v>
      </c>
      <c r="B9" s="27">
        <v>13</v>
      </c>
      <c r="C9" s="10"/>
      <c r="D9" s="8"/>
      <c r="E9" s="12" t="s">
        <v>71</v>
      </c>
      <c r="F9" s="12" t="s">
        <v>73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12</v>
      </c>
      <c r="F10" s="9">
        <f ca="1">IF(AND(SUM(OFFSET(F14,1,0,TaskRows,1))=0),0,SUM(OFFSET(F14,1,0,TaskRows,1)))</f>
        <v>12</v>
      </c>
      <c r="G10" s="9">
        <f aca="true" ca="1" t="shared" si="0" ref="G10:AD10">IF(AND(SUM(OFFSET(G14,1,0,TaskRows,1))=0),"",SUM(OFFSET(G14,1,0,TaskRows,1)))</f>
        <v>9</v>
      </c>
      <c r="H10" s="9">
        <f ca="1" t="shared" si="0"/>
        <v>2</v>
      </c>
      <c r="I10" s="9">
        <f ca="1" t="shared" si="0"/>
        <v>2</v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2</v>
      </c>
      <c r="C11" t="s">
        <v>83</v>
      </c>
      <c r="D11" s="2">
        <f>IF(COUNTIF(F10:AD10,"&gt;0")=0,1,COUNTIF(F10:AD10,"&gt;0"))</f>
        <v>4</v>
      </c>
      <c r="F11" s="2">
        <f>IF(F14="","",$E10-$E10/($B9-1)*(F14-1))</f>
        <v>12</v>
      </c>
      <c r="G11" s="2">
        <f aca="true" t="shared" si="1" ref="G11:AD11">IF(G14="","",TotalEffort-TotalEffort/(ImplementationDays)*(G14-1))</f>
        <v>11.076923076923077</v>
      </c>
      <c r="H11" s="2">
        <f t="shared" si="1"/>
        <v>10.153846153846153</v>
      </c>
      <c r="I11" s="2">
        <f t="shared" si="1"/>
        <v>9.23076923076923</v>
      </c>
      <c r="J11" s="2">
        <f t="shared" si="1"/>
        <v>8.307692307692307</v>
      </c>
      <c r="K11" s="2">
        <f t="shared" si="1"/>
        <v>7.384615384615384</v>
      </c>
      <c r="L11" s="2">
        <f t="shared" si="1"/>
        <v>6.461538461538462</v>
      </c>
      <c r="M11" s="2">
        <f t="shared" si="1"/>
        <v>5.538461538461538</v>
      </c>
      <c r="N11" s="2">
        <f t="shared" si="1"/>
        <v>4.615384615384615</v>
      </c>
      <c r="O11" s="2">
        <f t="shared" si="1"/>
        <v>3.6923076923076916</v>
      </c>
      <c r="P11" s="2">
        <f t="shared" si="1"/>
        <v>2.7692307692307683</v>
      </c>
      <c r="Q11" s="2">
        <f t="shared" si="1"/>
        <v>1.846153846153845</v>
      </c>
      <c r="R11" s="2">
        <f t="shared" si="1"/>
        <v>0.9230769230769234</v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11.8</v>
      </c>
      <c r="G12" s="2">
        <f ca="1" t="shared" si="2"/>
        <v>8.1</v>
      </c>
      <c r="H12" s="2">
        <f ca="1" t="shared" si="2"/>
        <v>4.399999999999999</v>
      </c>
      <c r="I12" s="2">
        <f ca="1" t="shared" si="2"/>
        <v>0.6999999999999993</v>
      </c>
      <c r="J12" s="2">
        <f ca="1" t="shared" si="2"/>
      </c>
      <c r="K12" s="2">
        <f ca="1" t="shared" si="2"/>
      </c>
      <c r="L12" s="2">
        <f ca="1" t="shared" si="2"/>
      </c>
      <c r="M12" s="2">
        <f ca="1" t="shared" si="2"/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4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  <v>3</v>
      </c>
      <c r="I14" s="11">
        <f t="shared" si="3"/>
        <v>4</v>
      </c>
      <c r="J14" s="11">
        <f t="shared" si="3"/>
        <v>5</v>
      </c>
      <c r="K14" s="11">
        <f t="shared" si="3"/>
        <v>6</v>
      </c>
      <c r="L14" s="11">
        <f t="shared" si="3"/>
        <v>7</v>
      </c>
      <c r="M14" s="11">
        <f t="shared" si="3"/>
        <v>8</v>
      </c>
      <c r="N14" s="11">
        <f t="shared" si="3"/>
        <v>9</v>
      </c>
      <c r="O14" s="11">
        <f t="shared" si="3"/>
        <v>10</v>
      </c>
      <c r="P14" s="11">
        <f t="shared" si="3"/>
        <v>11</v>
      </c>
      <c r="Q14" s="11">
        <f t="shared" si="3"/>
        <v>12</v>
      </c>
      <c r="R14" s="11">
        <f t="shared" si="3"/>
        <v>13</v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1:8" ht="12.75">
      <c r="A15" t="s">
        <v>133</v>
      </c>
      <c r="B15" s="2">
        <v>2</v>
      </c>
      <c r="C15" t="s">
        <v>125</v>
      </c>
      <c r="D15" t="s">
        <v>23</v>
      </c>
      <c r="E15" s="2">
        <v>5</v>
      </c>
      <c r="F15" s="2">
        <f>IF(OR(F$14="",$E15=""),"",E15)</f>
        <v>5</v>
      </c>
      <c r="G15" s="2">
        <v>2</v>
      </c>
      <c r="H15" s="2">
        <v>0</v>
      </c>
    </row>
    <row r="16" spans="1:30" ht="12.75">
      <c r="A16" t="s">
        <v>134</v>
      </c>
      <c r="B16" s="2">
        <v>2</v>
      </c>
      <c r="C16" t="s">
        <v>132</v>
      </c>
      <c r="D16" t="s">
        <v>23</v>
      </c>
      <c r="E16" s="2">
        <v>7</v>
      </c>
      <c r="F16" s="2">
        <f>IF(OR(F$14="",$E16=""),"",E16)</f>
        <v>7</v>
      </c>
      <c r="G16" s="2">
        <v>7</v>
      </c>
      <c r="H16" s="2">
        <v>2</v>
      </c>
      <c r="I16" s="2">
        <v>2</v>
      </c>
      <c r="AC16" s="2">
        <f aca="true" t="shared" si="4" ref="AC16:AD35">IF(OR(AC$14="",$E16=""),"",AB16)</f>
      </c>
      <c r="AD16" s="2">
        <f t="shared" si="4"/>
      </c>
    </row>
    <row r="17" spans="4:30" ht="12.75">
      <c r="D17">
        <f aca="true" t="shared" si="5" ref="D17:D59">IF(A17&lt;&gt;"","Planned","")</f>
      </c>
      <c r="F17" s="2">
        <f aca="true" t="shared" si="6" ref="F17:F59">IF(OR(F$14="",$E17=""),"",E17)</f>
      </c>
      <c r="AC17" s="2">
        <f t="shared" si="4"/>
      </c>
      <c r="AD17" s="2">
        <f t="shared" si="4"/>
      </c>
    </row>
    <row r="18" spans="4:30" ht="12.75">
      <c r="D18">
        <f t="shared" si="5"/>
      </c>
      <c r="F18" s="2">
        <f t="shared" si="6"/>
      </c>
      <c r="AC18" s="2">
        <f t="shared" si="4"/>
      </c>
      <c r="AD18" s="2">
        <f t="shared" si="4"/>
      </c>
    </row>
    <row r="19" spans="4:30" ht="12.75">
      <c r="D19">
        <f t="shared" si="5"/>
      </c>
      <c r="F19" s="2">
        <f t="shared" si="6"/>
      </c>
      <c r="AC19" s="2">
        <f t="shared" si="4"/>
      </c>
      <c r="AD19" s="2">
        <f t="shared" si="4"/>
      </c>
    </row>
    <row r="20" spans="4:30" ht="12.75">
      <c r="D20">
        <f t="shared" si="5"/>
      </c>
      <c r="F20" s="2">
        <f t="shared" si="6"/>
      </c>
      <c r="AC20" s="2">
        <f t="shared" si="4"/>
      </c>
      <c r="AD20" s="2">
        <f t="shared" si="4"/>
      </c>
    </row>
    <row r="21" spans="4:30" ht="12">
      <c r="D21">
        <f t="shared" si="5"/>
      </c>
      <c r="F21" s="2">
        <f t="shared" si="6"/>
      </c>
      <c r="AC21" s="2">
        <f t="shared" si="4"/>
      </c>
      <c r="AD21" s="2">
        <f t="shared" si="4"/>
      </c>
    </row>
    <row r="22" spans="4:30" ht="12">
      <c r="D22">
        <f t="shared" si="5"/>
      </c>
      <c r="F22" s="2">
        <f t="shared" si="6"/>
      </c>
      <c r="AC22" s="2">
        <f t="shared" si="4"/>
      </c>
      <c r="AD22" s="2">
        <f t="shared" si="4"/>
      </c>
    </row>
    <row r="23" spans="4:30" ht="12">
      <c r="D23">
        <f t="shared" si="5"/>
      </c>
      <c r="F23" s="2">
        <f t="shared" si="6"/>
      </c>
      <c r="AC23" s="2">
        <f t="shared" si="4"/>
      </c>
      <c r="AD23" s="2">
        <f t="shared" si="4"/>
      </c>
    </row>
    <row r="24" spans="4:30" ht="12">
      <c r="D24">
        <f t="shared" si="5"/>
      </c>
      <c r="F24" s="2">
        <f t="shared" si="6"/>
      </c>
      <c r="AC24" s="2">
        <f t="shared" si="4"/>
      </c>
      <c r="AD24" s="2">
        <f t="shared" si="4"/>
      </c>
    </row>
    <row r="25" spans="4:30" ht="12">
      <c r="D25">
        <f t="shared" si="5"/>
      </c>
      <c r="F25" s="2">
        <f t="shared" si="6"/>
      </c>
      <c r="AC25" s="2">
        <f t="shared" si="4"/>
      </c>
      <c r="AD25" s="2">
        <f t="shared" si="4"/>
      </c>
    </row>
    <row r="26" spans="4:30" ht="12">
      <c r="D26">
        <f t="shared" si="5"/>
      </c>
      <c r="F26" s="2">
        <f t="shared" si="6"/>
      </c>
      <c r="AC26" s="2">
        <f t="shared" si="4"/>
      </c>
      <c r="AD26" s="2">
        <f t="shared" si="4"/>
      </c>
    </row>
    <row r="27" spans="4:30" ht="12">
      <c r="D27">
        <f t="shared" si="5"/>
      </c>
      <c r="F27" s="2">
        <f t="shared" si="6"/>
      </c>
      <c r="AC27" s="2">
        <f t="shared" si="4"/>
      </c>
      <c r="AD27" s="2">
        <f t="shared" si="4"/>
      </c>
    </row>
    <row r="28" spans="4:30" ht="12">
      <c r="D28">
        <f t="shared" si="5"/>
      </c>
      <c r="F28" s="2">
        <f t="shared" si="6"/>
      </c>
      <c r="AC28" s="2">
        <f t="shared" si="4"/>
      </c>
      <c r="AD28" s="2">
        <f t="shared" si="4"/>
      </c>
    </row>
    <row r="29" spans="4:30" ht="12">
      <c r="D29">
        <f t="shared" si="5"/>
      </c>
      <c r="F29" s="2">
        <f t="shared" si="6"/>
      </c>
      <c r="AC29" s="2">
        <f t="shared" si="4"/>
      </c>
      <c r="AD29" s="2">
        <f t="shared" si="4"/>
      </c>
    </row>
    <row r="30" spans="4:30" ht="12">
      <c r="D30">
        <f t="shared" si="5"/>
      </c>
      <c r="F30" s="2">
        <f t="shared" si="6"/>
      </c>
      <c r="AC30" s="2">
        <f t="shared" si="4"/>
      </c>
      <c r="AD30" s="2">
        <f t="shared" si="4"/>
      </c>
    </row>
    <row r="31" spans="4:30" ht="12">
      <c r="D31">
        <f t="shared" si="5"/>
      </c>
      <c r="F31" s="2">
        <f t="shared" si="6"/>
      </c>
      <c r="AC31" s="2">
        <f t="shared" si="4"/>
      </c>
      <c r="AD31" s="2">
        <f t="shared" si="4"/>
      </c>
    </row>
    <row r="32" spans="4:30" ht="12">
      <c r="D32">
        <f t="shared" si="5"/>
      </c>
      <c r="F32" s="2">
        <f t="shared" si="6"/>
      </c>
      <c r="AC32" s="2">
        <f t="shared" si="4"/>
      </c>
      <c r="AD32" s="2">
        <f t="shared" si="4"/>
      </c>
    </row>
    <row r="33" spans="4:30" ht="12">
      <c r="D33">
        <f t="shared" si="5"/>
      </c>
      <c r="F33" s="2">
        <f t="shared" si="6"/>
      </c>
      <c r="AC33" s="2">
        <f t="shared" si="4"/>
      </c>
      <c r="AD33" s="2">
        <f t="shared" si="4"/>
      </c>
    </row>
    <row r="34" spans="4:30" ht="12">
      <c r="D34">
        <f t="shared" si="5"/>
      </c>
      <c r="F34" s="2">
        <f t="shared" si="6"/>
      </c>
      <c r="AC34" s="2">
        <f t="shared" si="4"/>
      </c>
      <c r="AD34" s="2">
        <f t="shared" si="4"/>
      </c>
    </row>
    <row r="35" spans="4:30" ht="12">
      <c r="D35">
        <f t="shared" si="5"/>
      </c>
      <c r="F35" s="2">
        <f t="shared" si="6"/>
      </c>
      <c r="AC35" s="2">
        <f t="shared" si="4"/>
      </c>
      <c r="AD35" s="2">
        <f t="shared" si="4"/>
      </c>
    </row>
    <row r="36" spans="4:30" ht="12">
      <c r="D36">
        <f t="shared" si="5"/>
      </c>
      <c r="F36" s="2">
        <f t="shared" si="6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5"/>
      </c>
      <c r="F37" s="2">
        <f t="shared" si="6"/>
      </c>
      <c r="AC37" s="2">
        <f t="shared" si="7"/>
      </c>
      <c r="AD37" s="2">
        <f t="shared" si="7"/>
      </c>
    </row>
    <row r="38" spans="4:30" ht="12">
      <c r="D38">
        <f t="shared" si="5"/>
      </c>
      <c r="F38" s="2">
        <f t="shared" si="6"/>
      </c>
      <c r="AC38" s="2">
        <f t="shared" si="7"/>
      </c>
      <c r="AD38" s="2">
        <f t="shared" si="7"/>
      </c>
    </row>
    <row r="39" spans="4:30" ht="12">
      <c r="D39">
        <f t="shared" si="5"/>
      </c>
      <c r="F39" s="2">
        <f t="shared" si="6"/>
      </c>
      <c r="AC39" s="2">
        <f t="shared" si="7"/>
      </c>
      <c r="AD39" s="2">
        <f t="shared" si="7"/>
      </c>
    </row>
    <row r="40" spans="4:30" ht="12">
      <c r="D40">
        <f t="shared" si="5"/>
      </c>
      <c r="F40" s="2">
        <f t="shared" si="6"/>
      </c>
      <c r="AC40" s="2">
        <f t="shared" si="7"/>
      </c>
      <c r="AD40" s="2">
        <f t="shared" si="7"/>
      </c>
    </row>
    <row r="41" spans="4:30" ht="12">
      <c r="D41">
        <f t="shared" si="5"/>
      </c>
      <c r="F41" s="2">
        <f t="shared" si="6"/>
      </c>
      <c r="AC41" s="2">
        <f t="shared" si="7"/>
      </c>
      <c r="AD41" s="2">
        <f t="shared" si="7"/>
      </c>
    </row>
    <row r="42" spans="4:30" ht="12">
      <c r="D42">
        <f t="shared" si="5"/>
      </c>
      <c r="F42" s="2">
        <f t="shared" si="6"/>
      </c>
      <c r="AC42" s="2">
        <f t="shared" si="7"/>
      </c>
      <c r="AD42" s="2">
        <f t="shared" si="7"/>
      </c>
    </row>
    <row r="43" spans="4:30" ht="12">
      <c r="D43">
        <f t="shared" si="5"/>
      </c>
      <c r="F43" s="2">
        <f t="shared" si="6"/>
      </c>
      <c r="AC43" s="2">
        <f t="shared" si="7"/>
      </c>
      <c r="AD43" s="2">
        <f t="shared" si="7"/>
      </c>
    </row>
    <row r="44" spans="4:30" ht="12">
      <c r="D44">
        <f t="shared" si="5"/>
      </c>
      <c r="F44" s="2">
        <f t="shared" si="6"/>
      </c>
      <c r="AC44" s="2">
        <f t="shared" si="7"/>
      </c>
      <c r="AD44" s="2">
        <f t="shared" si="7"/>
      </c>
    </row>
    <row r="45" spans="4:30" ht="12">
      <c r="D45">
        <f t="shared" si="5"/>
      </c>
      <c r="F45" s="2">
        <f t="shared" si="6"/>
      </c>
      <c r="AC45" s="2">
        <f t="shared" si="7"/>
      </c>
      <c r="AD45" s="2">
        <f t="shared" si="7"/>
      </c>
    </row>
    <row r="46" spans="4:30" ht="12">
      <c r="D46">
        <f t="shared" si="5"/>
      </c>
      <c r="F46" s="2">
        <f t="shared" si="6"/>
      </c>
      <c r="AC46" s="2">
        <f t="shared" si="7"/>
      </c>
      <c r="AD46" s="2">
        <f t="shared" si="7"/>
      </c>
    </row>
    <row r="47" spans="4:30" ht="12">
      <c r="D47">
        <f t="shared" si="5"/>
      </c>
      <c r="F47" s="2">
        <f t="shared" si="6"/>
      </c>
      <c r="AC47" s="2">
        <f t="shared" si="7"/>
      </c>
      <c r="AD47" s="2">
        <f t="shared" si="7"/>
      </c>
    </row>
    <row r="48" spans="4:30" ht="12">
      <c r="D48">
        <f t="shared" si="5"/>
      </c>
      <c r="F48" s="2">
        <f t="shared" si="6"/>
      </c>
      <c r="AC48" s="2">
        <f t="shared" si="7"/>
      </c>
      <c r="AD48" s="2">
        <f t="shared" si="7"/>
      </c>
    </row>
    <row r="49" spans="4:30" ht="12">
      <c r="D49">
        <f t="shared" si="5"/>
      </c>
      <c r="F49" s="2">
        <f t="shared" si="6"/>
      </c>
      <c r="AC49" s="2">
        <f t="shared" si="7"/>
      </c>
      <c r="AD49" s="2">
        <f t="shared" si="7"/>
      </c>
    </row>
    <row r="50" spans="4:30" ht="12">
      <c r="D50">
        <f t="shared" si="5"/>
      </c>
      <c r="F50" s="2">
        <f t="shared" si="6"/>
      </c>
      <c r="AC50" s="2">
        <f t="shared" si="7"/>
      </c>
      <c r="AD50" s="2">
        <f t="shared" si="7"/>
      </c>
    </row>
    <row r="51" spans="4:30" ht="12">
      <c r="D51">
        <f t="shared" si="5"/>
      </c>
      <c r="F51" s="2">
        <f t="shared" si="6"/>
      </c>
      <c r="AC51" s="2">
        <f t="shared" si="7"/>
      </c>
      <c r="AD51" s="2">
        <f t="shared" si="7"/>
      </c>
    </row>
    <row r="52" spans="4:30" ht="12">
      <c r="D52">
        <f t="shared" si="5"/>
      </c>
      <c r="F52" s="2">
        <f t="shared" si="6"/>
      </c>
      <c r="AC52" s="2">
        <f t="shared" si="7"/>
      </c>
      <c r="AD52" s="2">
        <f t="shared" si="7"/>
      </c>
    </row>
    <row r="53" spans="4:30" ht="12">
      <c r="D53">
        <f t="shared" si="5"/>
      </c>
      <c r="F53" s="2">
        <f t="shared" si="6"/>
      </c>
      <c r="AC53" s="2">
        <f t="shared" si="7"/>
      </c>
      <c r="AD53" s="2">
        <f t="shared" si="7"/>
      </c>
    </row>
    <row r="54" spans="4:30" ht="12">
      <c r="D54">
        <f t="shared" si="5"/>
      </c>
      <c r="F54" s="2">
        <f t="shared" si="6"/>
      </c>
      <c r="AC54" s="2">
        <f t="shared" si="7"/>
      </c>
      <c r="AD54" s="2">
        <f t="shared" si="7"/>
      </c>
    </row>
    <row r="55" spans="4:30" ht="12">
      <c r="D55">
        <f t="shared" si="5"/>
      </c>
      <c r="F55" s="2">
        <f t="shared" si="6"/>
      </c>
      <c r="AC55" s="2">
        <f t="shared" si="7"/>
      </c>
      <c r="AD55" s="2">
        <f t="shared" si="7"/>
      </c>
    </row>
    <row r="56" spans="4:30" ht="12">
      <c r="D56">
        <f t="shared" si="5"/>
      </c>
      <c r="F56" s="2">
        <f t="shared" si="6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5"/>
      </c>
      <c r="F57" s="2">
        <f t="shared" si="6"/>
      </c>
      <c r="AC57" s="2">
        <f t="shared" si="8"/>
      </c>
      <c r="AD57" s="2">
        <f t="shared" si="8"/>
      </c>
    </row>
    <row r="58" spans="4:30" ht="12">
      <c r="D58">
        <f t="shared" si="5"/>
      </c>
      <c r="F58" s="2">
        <f t="shared" si="6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5"/>
      </c>
      <c r="F59" s="2">
        <f t="shared" si="6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A19:AD58 J15:AD18 A15:I16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7:I18">
    <cfRule type="expression" priority="3" dxfId="3" stopIfTrue="1">
      <formula>$D17="Done"</formula>
    </cfRule>
    <cfRule type="expression" priority="4" dxfId="4" stopIfTrue="1">
      <formula>$D17="Ongoing"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47.421875" style="0" bestFit="1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3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28</v>
      </c>
      <c r="B9" s="27">
        <v>2</v>
      </c>
      <c r="C9" s="10"/>
      <c r="D9" s="8"/>
      <c r="E9" s="12" t="s">
        <v>71</v>
      </c>
      <c r="F9" s="12" t="s">
        <v>73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20</v>
      </c>
      <c r="F10" s="9">
        <f ca="1">IF(AND(SUM(OFFSET(F14,1,0,TaskRows,1))=0),0,SUM(OFFSET(F14,1,0,TaskRows,1)))</f>
        <v>20</v>
      </c>
      <c r="G10" s="9">
        <f aca="true" ca="1" t="shared" si="0" ref="G10:AD10">IF(AND(SUM(OFFSET(G14,1,0,TaskRows,1))=0),"",SUM(OFFSET(G14,1,0,TaskRows,1)))</f>
        <v>8</v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8</v>
      </c>
      <c r="C11" t="s">
        <v>83</v>
      </c>
      <c r="D11" s="2">
        <f>IF(COUNTIF(F10:AD10,"&gt;0")=0,1,COUNTIF(F10:AD10,"&gt;0"))</f>
        <v>2</v>
      </c>
      <c r="F11" s="2">
        <f>IF(F14="","",$E10-$E10/($B9-1)*(F14-1))</f>
        <v>20</v>
      </c>
      <c r="G11" s="2">
        <f aca="true" t="shared" si="1" ref="G11:AD11">IF(G14="","",TotalEffort-TotalEffort/(ImplementationDays)*(G14-1))</f>
        <v>10</v>
      </c>
      <c r="H11" s="2">
        <f t="shared" si="1"/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20</v>
      </c>
      <c r="G12" s="2">
        <f ca="1" t="shared" si="2"/>
        <v>7.9999999999999964</v>
      </c>
      <c r="H12" s="2">
        <f ca="1" t="shared" si="2"/>
      </c>
      <c r="I12" s="2">
        <f ca="1" t="shared" si="2"/>
      </c>
      <c r="J12" s="2">
        <f ca="1" t="shared" si="2"/>
      </c>
      <c r="K12" s="2">
        <f ca="1" t="shared" si="2"/>
      </c>
      <c r="L12" s="2">
        <f ca="1" t="shared" si="2"/>
      </c>
      <c r="M12" s="2">
        <f ca="1" t="shared" si="2"/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2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</c>
      <c r="I14" s="11">
        <f t="shared" si="3"/>
      </c>
      <c r="J14" s="11">
        <f t="shared" si="3"/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1:8" ht="12.75">
      <c r="A15" t="s">
        <v>126</v>
      </c>
      <c r="B15" s="2">
        <v>1</v>
      </c>
      <c r="C15" t="s">
        <v>125</v>
      </c>
      <c r="D15" t="s">
        <v>23</v>
      </c>
      <c r="E15" s="2">
        <v>5</v>
      </c>
      <c r="F15" s="2">
        <f>IF(OR(F$14="",$E15=""),"",E15)</f>
        <v>5</v>
      </c>
      <c r="G15" s="2">
        <v>2</v>
      </c>
      <c r="H15" s="2">
        <v>0</v>
      </c>
    </row>
    <row r="16" spans="1:8" ht="12.75">
      <c r="A16" t="s">
        <v>135</v>
      </c>
      <c r="B16" s="2">
        <v>5</v>
      </c>
      <c r="C16" t="s">
        <v>136</v>
      </c>
      <c r="D16" t="s">
        <v>26</v>
      </c>
      <c r="E16" s="2">
        <v>5</v>
      </c>
      <c r="F16" s="2">
        <f>IF(OR(F$14="",$E16=""),"",E16)</f>
        <v>5</v>
      </c>
      <c r="G16" s="2">
        <v>2</v>
      </c>
      <c r="H16" s="2">
        <v>0</v>
      </c>
    </row>
    <row r="17" spans="1:8" ht="12.75">
      <c r="A17" t="s">
        <v>138</v>
      </c>
      <c r="B17" s="2">
        <v>3</v>
      </c>
      <c r="C17" t="s">
        <v>139</v>
      </c>
      <c r="D17" t="s">
        <v>26</v>
      </c>
      <c r="E17" s="2">
        <v>5</v>
      </c>
      <c r="F17" s="2">
        <f>IF(OR(F$14="",$E17=""),"",E17)</f>
        <v>5</v>
      </c>
      <c r="G17" s="2">
        <v>2</v>
      </c>
      <c r="H17" s="2">
        <v>0</v>
      </c>
    </row>
    <row r="18" spans="1:8" ht="12.75">
      <c r="A18" t="s">
        <v>140</v>
      </c>
      <c r="B18" s="2">
        <v>2</v>
      </c>
      <c r="C18" t="s">
        <v>141</v>
      </c>
      <c r="D18" t="s">
        <v>26</v>
      </c>
      <c r="E18" s="2">
        <v>5</v>
      </c>
      <c r="F18" s="2">
        <f>IF(OR(F$14="",$E18=""),"",E18)</f>
        <v>5</v>
      </c>
      <c r="G18" s="2">
        <v>2</v>
      </c>
      <c r="H18" s="2">
        <v>0</v>
      </c>
    </row>
    <row r="19" spans="1:30" ht="12.75">
      <c r="A19" t="s">
        <v>146</v>
      </c>
      <c r="B19" s="2">
        <v>7</v>
      </c>
      <c r="C19" t="s">
        <v>125</v>
      </c>
      <c r="D19" t="s">
        <v>23</v>
      </c>
      <c r="F19" s="2">
        <f aca="true" t="shared" si="4" ref="F19:F59">IF(OR(F$14="",$E19=""),"",E19)</f>
      </c>
      <c r="AC19" s="2">
        <f aca="true" t="shared" si="5" ref="AC19:AD35">IF(OR(AC$14="",$E19=""),"",AB19)</f>
      </c>
      <c r="AD19" s="2">
        <f t="shared" si="5"/>
      </c>
    </row>
    <row r="20" spans="1:30" ht="12.75">
      <c r="A20" t="s">
        <v>146</v>
      </c>
      <c r="B20" s="2">
        <v>7</v>
      </c>
      <c r="C20" t="s">
        <v>139</v>
      </c>
      <c r="D20" t="s">
        <v>23</v>
      </c>
      <c r="F20" s="2">
        <f t="shared" si="4"/>
      </c>
      <c r="AC20" s="2">
        <f t="shared" si="5"/>
      </c>
      <c r="AD20" s="2">
        <f t="shared" si="5"/>
      </c>
    </row>
    <row r="21" spans="1:30" ht="12">
      <c r="A21" t="s">
        <v>146</v>
      </c>
      <c r="B21" s="2">
        <v>7</v>
      </c>
      <c r="C21" t="s">
        <v>136</v>
      </c>
      <c r="D21" t="s">
        <v>23</v>
      </c>
      <c r="F21" s="2">
        <f t="shared" si="4"/>
      </c>
      <c r="AC21" s="2">
        <f t="shared" si="5"/>
      </c>
      <c r="AD21" s="2">
        <f t="shared" si="5"/>
      </c>
    </row>
    <row r="22" spans="1:30" ht="12">
      <c r="A22" t="s">
        <v>146</v>
      </c>
      <c r="B22" s="2">
        <v>7</v>
      </c>
      <c r="C22" t="s">
        <v>141</v>
      </c>
      <c r="D22" t="s">
        <v>23</v>
      </c>
      <c r="F22" s="2">
        <f t="shared" si="4"/>
      </c>
      <c r="AC22" s="2">
        <f t="shared" si="5"/>
      </c>
      <c r="AD22" s="2">
        <f t="shared" si="5"/>
      </c>
    </row>
    <row r="23" spans="4:30" ht="12">
      <c r="D23">
        <f aca="true" t="shared" si="6" ref="D23:D59">IF(A23&lt;&gt;"","Planned","")</f>
      </c>
      <c r="F23" s="2">
        <f t="shared" si="4"/>
      </c>
      <c r="AC23" s="2">
        <f t="shared" si="5"/>
      </c>
      <c r="AD23" s="2">
        <f t="shared" si="5"/>
      </c>
    </row>
    <row r="24" spans="4:30" ht="12">
      <c r="D24">
        <f t="shared" si="6"/>
      </c>
      <c r="F24" s="2">
        <f t="shared" si="4"/>
      </c>
      <c r="AC24" s="2">
        <f t="shared" si="5"/>
      </c>
      <c r="AD24" s="2">
        <f t="shared" si="5"/>
      </c>
    </row>
    <row r="25" spans="4:30" ht="12">
      <c r="D25">
        <f t="shared" si="6"/>
      </c>
      <c r="F25" s="2">
        <f t="shared" si="4"/>
      </c>
      <c r="AC25" s="2">
        <f t="shared" si="5"/>
      </c>
      <c r="AD25" s="2">
        <f t="shared" si="5"/>
      </c>
    </row>
    <row r="26" spans="4:30" ht="12">
      <c r="D26">
        <f t="shared" si="6"/>
      </c>
      <c r="F26" s="2">
        <f t="shared" si="4"/>
      </c>
      <c r="AC26" s="2">
        <f t="shared" si="5"/>
      </c>
      <c r="AD26" s="2">
        <f t="shared" si="5"/>
      </c>
    </row>
    <row r="27" spans="4:30" ht="12">
      <c r="D27">
        <f t="shared" si="6"/>
      </c>
      <c r="F27" s="2">
        <f t="shared" si="4"/>
      </c>
      <c r="AC27" s="2">
        <f t="shared" si="5"/>
      </c>
      <c r="AD27" s="2">
        <f t="shared" si="5"/>
      </c>
    </row>
    <row r="28" spans="4:30" ht="12">
      <c r="D28">
        <f t="shared" si="6"/>
      </c>
      <c r="F28" s="2">
        <f t="shared" si="4"/>
      </c>
      <c r="AC28" s="2">
        <f t="shared" si="5"/>
      </c>
      <c r="AD28" s="2">
        <f t="shared" si="5"/>
      </c>
    </row>
    <row r="29" spans="4:30" ht="12">
      <c r="D29">
        <f t="shared" si="6"/>
      </c>
      <c r="F29" s="2">
        <f t="shared" si="4"/>
      </c>
      <c r="AC29" s="2">
        <f t="shared" si="5"/>
      </c>
      <c r="AD29" s="2">
        <f t="shared" si="5"/>
      </c>
    </row>
    <row r="30" spans="4:30" ht="12">
      <c r="D30">
        <f t="shared" si="6"/>
      </c>
      <c r="F30" s="2">
        <f t="shared" si="4"/>
      </c>
      <c r="AC30" s="2">
        <f t="shared" si="5"/>
      </c>
      <c r="AD30" s="2">
        <f t="shared" si="5"/>
      </c>
    </row>
    <row r="31" spans="4:30" ht="12">
      <c r="D31">
        <f t="shared" si="6"/>
      </c>
      <c r="F31" s="2">
        <f t="shared" si="4"/>
      </c>
      <c r="AC31" s="2">
        <f t="shared" si="5"/>
      </c>
      <c r="AD31" s="2">
        <f t="shared" si="5"/>
      </c>
    </row>
    <row r="32" spans="4:30" ht="12">
      <c r="D32">
        <f t="shared" si="6"/>
      </c>
      <c r="F32" s="2">
        <f t="shared" si="4"/>
      </c>
      <c r="AC32" s="2">
        <f t="shared" si="5"/>
      </c>
      <c r="AD32" s="2">
        <f t="shared" si="5"/>
      </c>
    </row>
    <row r="33" spans="4:30" ht="12">
      <c r="D33">
        <f t="shared" si="6"/>
      </c>
      <c r="F33" s="2">
        <f t="shared" si="4"/>
      </c>
      <c r="AC33" s="2">
        <f t="shared" si="5"/>
      </c>
      <c r="AD33" s="2">
        <f t="shared" si="5"/>
      </c>
    </row>
    <row r="34" spans="4:30" ht="12">
      <c r="D34">
        <f t="shared" si="6"/>
      </c>
      <c r="F34" s="2">
        <f t="shared" si="4"/>
      </c>
      <c r="AC34" s="2">
        <f t="shared" si="5"/>
      </c>
      <c r="AD34" s="2">
        <f t="shared" si="5"/>
      </c>
    </row>
    <row r="35" spans="4:30" ht="12">
      <c r="D35">
        <f t="shared" si="6"/>
      </c>
      <c r="F35" s="2">
        <f t="shared" si="4"/>
      </c>
      <c r="AC35" s="2">
        <f t="shared" si="5"/>
      </c>
      <c r="AD35" s="2">
        <f t="shared" si="5"/>
      </c>
    </row>
    <row r="36" spans="4:30" ht="12">
      <c r="D36">
        <f t="shared" si="6"/>
      </c>
      <c r="F36" s="2">
        <f t="shared" si="4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6"/>
      </c>
      <c r="F37" s="2">
        <f t="shared" si="4"/>
      </c>
      <c r="AC37" s="2">
        <f t="shared" si="7"/>
      </c>
      <c r="AD37" s="2">
        <f t="shared" si="7"/>
      </c>
    </row>
    <row r="38" spans="4:30" ht="12">
      <c r="D38">
        <f t="shared" si="6"/>
      </c>
      <c r="F38" s="2">
        <f t="shared" si="4"/>
      </c>
      <c r="AC38" s="2">
        <f t="shared" si="7"/>
      </c>
      <c r="AD38" s="2">
        <f t="shared" si="7"/>
      </c>
    </row>
    <row r="39" spans="4:30" ht="12">
      <c r="D39">
        <f t="shared" si="6"/>
      </c>
      <c r="F39" s="2">
        <f t="shared" si="4"/>
      </c>
      <c r="AC39" s="2">
        <f t="shared" si="7"/>
      </c>
      <c r="AD39" s="2">
        <f t="shared" si="7"/>
      </c>
    </row>
    <row r="40" spans="4:30" ht="12">
      <c r="D40">
        <f t="shared" si="6"/>
      </c>
      <c r="F40" s="2">
        <f t="shared" si="4"/>
      </c>
      <c r="AC40" s="2">
        <f t="shared" si="7"/>
      </c>
      <c r="AD40" s="2">
        <f t="shared" si="7"/>
      </c>
    </row>
    <row r="41" spans="4:30" ht="12">
      <c r="D41">
        <f t="shared" si="6"/>
      </c>
      <c r="F41" s="2">
        <f t="shared" si="4"/>
      </c>
      <c r="AC41" s="2">
        <f t="shared" si="7"/>
      </c>
      <c r="AD41" s="2">
        <f t="shared" si="7"/>
      </c>
    </row>
    <row r="42" spans="4:30" ht="12">
      <c r="D42">
        <f t="shared" si="6"/>
      </c>
      <c r="F42" s="2">
        <f t="shared" si="4"/>
      </c>
      <c r="AC42" s="2">
        <f t="shared" si="7"/>
      </c>
      <c r="AD42" s="2">
        <f t="shared" si="7"/>
      </c>
    </row>
    <row r="43" spans="4:30" ht="12">
      <c r="D43">
        <f t="shared" si="6"/>
      </c>
      <c r="F43" s="2">
        <f t="shared" si="4"/>
      </c>
      <c r="AC43" s="2">
        <f t="shared" si="7"/>
      </c>
      <c r="AD43" s="2">
        <f t="shared" si="7"/>
      </c>
    </row>
    <row r="44" spans="4:30" ht="12">
      <c r="D44">
        <f t="shared" si="6"/>
      </c>
      <c r="F44" s="2">
        <f t="shared" si="4"/>
      </c>
      <c r="AC44" s="2">
        <f t="shared" si="7"/>
      </c>
      <c r="AD44" s="2">
        <f t="shared" si="7"/>
      </c>
    </row>
    <row r="45" spans="4:30" ht="12">
      <c r="D45">
        <f t="shared" si="6"/>
      </c>
      <c r="F45" s="2">
        <f t="shared" si="4"/>
      </c>
      <c r="AC45" s="2">
        <f t="shared" si="7"/>
      </c>
      <c r="AD45" s="2">
        <f t="shared" si="7"/>
      </c>
    </row>
    <row r="46" spans="4:30" ht="12">
      <c r="D46">
        <f t="shared" si="6"/>
      </c>
      <c r="F46" s="2">
        <f t="shared" si="4"/>
      </c>
      <c r="AC46" s="2">
        <f t="shared" si="7"/>
      </c>
      <c r="AD46" s="2">
        <f t="shared" si="7"/>
      </c>
    </row>
    <row r="47" spans="4:30" ht="12">
      <c r="D47">
        <f t="shared" si="6"/>
      </c>
      <c r="F47" s="2">
        <f t="shared" si="4"/>
      </c>
      <c r="AC47" s="2">
        <f t="shared" si="7"/>
      </c>
      <c r="AD47" s="2">
        <f t="shared" si="7"/>
      </c>
    </row>
    <row r="48" spans="4:30" ht="12">
      <c r="D48">
        <f t="shared" si="6"/>
      </c>
      <c r="F48" s="2">
        <f t="shared" si="4"/>
      </c>
      <c r="AC48" s="2">
        <f t="shared" si="7"/>
      </c>
      <c r="AD48" s="2">
        <f t="shared" si="7"/>
      </c>
    </row>
    <row r="49" spans="4:30" ht="12">
      <c r="D49">
        <f t="shared" si="6"/>
      </c>
      <c r="F49" s="2">
        <f t="shared" si="4"/>
      </c>
      <c r="AC49" s="2">
        <f t="shared" si="7"/>
      </c>
      <c r="AD49" s="2">
        <f t="shared" si="7"/>
      </c>
    </row>
    <row r="50" spans="4:30" ht="12">
      <c r="D50">
        <f t="shared" si="6"/>
      </c>
      <c r="F50" s="2">
        <f t="shared" si="4"/>
      </c>
      <c r="AC50" s="2">
        <f t="shared" si="7"/>
      </c>
      <c r="AD50" s="2">
        <f t="shared" si="7"/>
      </c>
    </row>
    <row r="51" spans="4:30" ht="12">
      <c r="D51">
        <f t="shared" si="6"/>
      </c>
      <c r="F51" s="2">
        <f t="shared" si="4"/>
      </c>
      <c r="AC51" s="2">
        <f t="shared" si="7"/>
      </c>
      <c r="AD51" s="2">
        <f t="shared" si="7"/>
      </c>
    </row>
    <row r="52" spans="4:30" ht="12">
      <c r="D52">
        <f t="shared" si="6"/>
      </c>
      <c r="F52" s="2">
        <f t="shared" si="4"/>
      </c>
      <c r="AC52" s="2">
        <f t="shared" si="7"/>
      </c>
      <c r="AD52" s="2">
        <f t="shared" si="7"/>
      </c>
    </row>
    <row r="53" spans="4:30" ht="12">
      <c r="D53">
        <f t="shared" si="6"/>
      </c>
      <c r="F53" s="2">
        <f t="shared" si="4"/>
      </c>
      <c r="AC53" s="2">
        <f t="shared" si="7"/>
      </c>
      <c r="AD53" s="2">
        <f t="shared" si="7"/>
      </c>
    </row>
    <row r="54" spans="4:30" ht="12">
      <c r="D54">
        <f t="shared" si="6"/>
      </c>
      <c r="F54" s="2">
        <f t="shared" si="4"/>
      </c>
      <c r="AC54" s="2">
        <f t="shared" si="7"/>
      </c>
      <c r="AD54" s="2">
        <f t="shared" si="7"/>
      </c>
    </row>
    <row r="55" spans="4:30" ht="12">
      <c r="D55">
        <f t="shared" si="6"/>
      </c>
      <c r="F55" s="2">
        <f t="shared" si="4"/>
      </c>
      <c r="AC55" s="2">
        <f t="shared" si="7"/>
      </c>
      <c r="AD55" s="2">
        <f t="shared" si="7"/>
      </c>
    </row>
    <row r="56" spans="4:30" ht="12">
      <c r="D56">
        <f t="shared" si="6"/>
      </c>
      <c r="F56" s="2">
        <f t="shared" si="4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6"/>
      </c>
      <c r="F57" s="2">
        <f t="shared" si="4"/>
      </c>
      <c r="AC57" s="2">
        <f t="shared" si="8"/>
      </c>
      <c r="AD57" s="2">
        <f t="shared" si="8"/>
      </c>
    </row>
    <row r="58" spans="4:30" ht="12">
      <c r="D58">
        <f t="shared" si="6"/>
      </c>
      <c r="F58" s="2">
        <f t="shared" si="4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6"/>
      </c>
      <c r="F59" s="2">
        <f t="shared" si="4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A15:AD58">
    <cfRule type="expression" priority="1" dxfId="3" stopIfTrue="1">
      <formula>$D15="Done"</formula>
    </cfRule>
    <cfRule type="expression" priority="2" dxfId="4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1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74</v>
      </c>
      <c r="B9" s="27">
        <v>5</v>
      </c>
      <c r="C9" s="10"/>
      <c r="D9" s="8"/>
      <c r="E9" s="12" t="s">
        <v>71</v>
      </c>
      <c r="F9" s="12" t="s">
        <v>73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0</v>
      </c>
      <c r="F10" s="9">
        <f ca="1">IF(AND(SUM(OFFSET(F14,1,0,TaskRows,1))=0),0,SUM(OFFSET(F14,1,0,TaskRows,1)))</f>
        <v>0</v>
      </c>
      <c r="G10" s="9">
        <f aca="true" ca="1" t="shared" si="0" ref="G10:AD10">IF(AND(SUM(OFFSET(G14,1,0,TaskRows,1))=0),"",SUM(OFFSET(G14,1,0,TaskRows,1)))</f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4</v>
      </c>
      <c r="C11" t="s">
        <v>83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  <v>3</v>
      </c>
      <c r="I14" s="11">
        <f t="shared" si="3"/>
        <v>4</v>
      </c>
      <c r="J14" s="11">
        <f t="shared" si="3"/>
        <v>5</v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1:6" ht="12.75">
      <c r="A15" t="s">
        <v>27</v>
      </c>
      <c r="B15" s="2">
        <v>2</v>
      </c>
      <c r="C15" t="s">
        <v>132</v>
      </c>
      <c r="D15" t="s">
        <v>26</v>
      </c>
      <c r="F15" s="2">
        <f aca="true" t="shared" si="4" ref="F15:F59">IF(OR(F$14="",$E15=""),"",E15)</f>
      </c>
    </row>
    <row r="16" spans="1:30" ht="12.75">
      <c r="A16" t="s">
        <v>35</v>
      </c>
      <c r="B16" s="2">
        <v>8</v>
      </c>
      <c r="C16" t="s">
        <v>136</v>
      </c>
      <c r="D16" t="s">
        <v>26</v>
      </c>
      <c r="F16" s="2">
        <f t="shared" si="4"/>
      </c>
      <c r="AC16" s="2">
        <f aca="true" t="shared" si="5" ref="AC16:AD35">IF(OR(AC$14="",$E16=""),"",AB16)</f>
      </c>
      <c r="AD16" s="2">
        <f t="shared" si="5"/>
      </c>
    </row>
    <row r="17" spans="1:30" ht="12.75">
      <c r="A17" t="s">
        <v>128</v>
      </c>
      <c r="B17" s="2">
        <v>3</v>
      </c>
      <c r="C17" t="s">
        <v>139</v>
      </c>
      <c r="D17" t="s">
        <v>26</v>
      </c>
      <c r="F17" s="2">
        <f t="shared" si="4"/>
      </c>
      <c r="AC17" s="2">
        <f t="shared" si="5"/>
      </c>
      <c r="AD17" s="2">
        <f t="shared" si="5"/>
      </c>
    </row>
    <row r="18" spans="1:30" ht="12.75">
      <c r="A18" t="s">
        <v>36</v>
      </c>
      <c r="B18" s="2">
        <v>7</v>
      </c>
      <c r="C18" t="s">
        <v>125</v>
      </c>
      <c r="D18" t="s">
        <v>26</v>
      </c>
      <c r="F18" s="2">
        <f t="shared" si="4"/>
      </c>
      <c r="AC18" s="2">
        <f t="shared" si="5"/>
      </c>
      <c r="AD18" s="2">
        <f t="shared" si="5"/>
      </c>
    </row>
    <row r="19" spans="4:30" ht="12.75">
      <c r="D19">
        <f aca="true" t="shared" si="6" ref="D15:D59">IF(A19&lt;&gt;"","Planned","")</f>
      </c>
      <c r="F19" s="2">
        <f t="shared" si="4"/>
      </c>
      <c r="AC19" s="2">
        <f t="shared" si="5"/>
      </c>
      <c r="AD19" s="2">
        <f t="shared" si="5"/>
      </c>
    </row>
    <row r="20" spans="4:30" ht="12.75">
      <c r="D20">
        <f t="shared" si="6"/>
      </c>
      <c r="F20" s="2">
        <f t="shared" si="4"/>
      </c>
      <c r="AC20" s="2">
        <f t="shared" si="5"/>
      </c>
      <c r="AD20" s="2">
        <f t="shared" si="5"/>
      </c>
    </row>
    <row r="21" spans="4:30" ht="12">
      <c r="D21">
        <f t="shared" si="6"/>
      </c>
      <c r="F21" s="2">
        <f t="shared" si="4"/>
      </c>
      <c r="AC21" s="2">
        <f t="shared" si="5"/>
      </c>
      <c r="AD21" s="2">
        <f t="shared" si="5"/>
      </c>
    </row>
    <row r="22" spans="4:30" ht="12">
      <c r="D22">
        <f t="shared" si="6"/>
      </c>
      <c r="F22" s="2">
        <f t="shared" si="4"/>
      </c>
      <c r="AC22" s="2">
        <f t="shared" si="5"/>
      </c>
      <c r="AD22" s="2">
        <f t="shared" si="5"/>
      </c>
    </row>
    <row r="23" spans="4:30" ht="12">
      <c r="D23">
        <f t="shared" si="6"/>
      </c>
      <c r="F23" s="2">
        <f t="shared" si="4"/>
      </c>
      <c r="AC23" s="2">
        <f t="shared" si="5"/>
      </c>
      <c r="AD23" s="2">
        <f t="shared" si="5"/>
      </c>
    </row>
    <row r="24" spans="4:30" ht="12">
      <c r="D24">
        <f t="shared" si="6"/>
      </c>
      <c r="F24" s="2">
        <f t="shared" si="4"/>
      </c>
      <c r="AC24" s="2">
        <f t="shared" si="5"/>
      </c>
      <c r="AD24" s="2">
        <f t="shared" si="5"/>
      </c>
    </row>
    <row r="25" spans="4:30" ht="12">
      <c r="D25">
        <f t="shared" si="6"/>
      </c>
      <c r="F25" s="2">
        <f t="shared" si="4"/>
      </c>
      <c r="AC25" s="2">
        <f t="shared" si="5"/>
      </c>
      <c r="AD25" s="2">
        <f t="shared" si="5"/>
      </c>
    </row>
    <row r="26" spans="4:30" ht="12">
      <c r="D26">
        <f t="shared" si="6"/>
      </c>
      <c r="F26" s="2">
        <f t="shared" si="4"/>
      </c>
      <c r="AC26" s="2">
        <f t="shared" si="5"/>
      </c>
      <c r="AD26" s="2">
        <f t="shared" si="5"/>
      </c>
    </row>
    <row r="27" spans="4:30" ht="12">
      <c r="D27">
        <f t="shared" si="6"/>
      </c>
      <c r="F27" s="2">
        <f t="shared" si="4"/>
      </c>
      <c r="AC27" s="2">
        <f t="shared" si="5"/>
      </c>
      <c r="AD27" s="2">
        <f t="shared" si="5"/>
      </c>
    </row>
    <row r="28" spans="4:30" ht="12">
      <c r="D28">
        <f t="shared" si="6"/>
      </c>
      <c r="F28" s="2">
        <f t="shared" si="4"/>
      </c>
      <c r="AC28" s="2">
        <f t="shared" si="5"/>
      </c>
      <c r="AD28" s="2">
        <f t="shared" si="5"/>
      </c>
    </row>
    <row r="29" spans="4:30" ht="12">
      <c r="D29">
        <f t="shared" si="6"/>
      </c>
      <c r="F29" s="2">
        <f t="shared" si="4"/>
      </c>
      <c r="AC29" s="2">
        <f t="shared" si="5"/>
      </c>
      <c r="AD29" s="2">
        <f t="shared" si="5"/>
      </c>
    </row>
    <row r="30" spans="4:30" ht="12">
      <c r="D30">
        <f t="shared" si="6"/>
      </c>
      <c r="F30" s="2">
        <f t="shared" si="4"/>
      </c>
      <c r="AC30" s="2">
        <f t="shared" si="5"/>
      </c>
      <c r="AD30" s="2">
        <f t="shared" si="5"/>
      </c>
    </row>
    <row r="31" spans="4:30" ht="12">
      <c r="D31">
        <f t="shared" si="6"/>
      </c>
      <c r="F31" s="2">
        <f t="shared" si="4"/>
      </c>
      <c r="AC31" s="2">
        <f t="shared" si="5"/>
      </c>
      <c r="AD31" s="2">
        <f t="shared" si="5"/>
      </c>
    </row>
    <row r="32" spans="4:30" ht="12">
      <c r="D32">
        <f t="shared" si="6"/>
      </c>
      <c r="F32" s="2">
        <f t="shared" si="4"/>
      </c>
      <c r="AC32" s="2">
        <f t="shared" si="5"/>
      </c>
      <c r="AD32" s="2">
        <f t="shared" si="5"/>
      </c>
    </row>
    <row r="33" spans="4:30" ht="12">
      <c r="D33">
        <f t="shared" si="6"/>
      </c>
      <c r="F33" s="2">
        <f t="shared" si="4"/>
      </c>
      <c r="AC33" s="2">
        <f t="shared" si="5"/>
      </c>
      <c r="AD33" s="2">
        <f t="shared" si="5"/>
      </c>
    </row>
    <row r="34" spans="4:30" ht="12">
      <c r="D34">
        <f t="shared" si="6"/>
      </c>
      <c r="F34" s="2">
        <f t="shared" si="4"/>
      </c>
      <c r="AC34" s="2">
        <f t="shared" si="5"/>
      </c>
      <c r="AD34" s="2">
        <f t="shared" si="5"/>
      </c>
    </row>
    <row r="35" spans="4:30" ht="12">
      <c r="D35">
        <f t="shared" si="6"/>
      </c>
      <c r="F35" s="2">
        <f t="shared" si="4"/>
      </c>
      <c r="AC35" s="2">
        <f t="shared" si="5"/>
      </c>
      <c r="AD35" s="2">
        <f t="shared" si="5"/>
      </c>
    </row>
    <row r="36" spans="4:30" ht="12">
      <c r="D36">
        <f t="shared" si="6"/>
      </c>
      <c r="F36" s="2">
        <f t="shared" si="4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6"/>
      </c>
      <c r="F37" s="2">
        <f t="shared" si="4"/>
      </c>
      <c r="AC37" s="2">
        <f t="shared" si="7"/>
      </c>
      <c r="AD37" s="2">
        <f t="shared" si="7"/>
      </c>
    </row>
    <row r="38" spans="4:30" ht="12">
      <c r="D38">
        <f t="shared" si="6"/>
      </c>
      <c r="F38" s="2">
        <f t="shared" si="4"/>
      </c>
      <c r="AC38" s="2">
        <f t="shared" si="7"/>
      </c>
      <c r="AD38" s="2">
        <f t="shared" si="7"/>
      </c>
    </row>
    <row r="39" spans="4:30" ht="12">
      <c r="D39">
        <f t="shared" si="6"/>
      </c>
      <c r="F39" s="2">
        <f t="shared" si="4"/>
      </c>
      <c r="AC39" s="2">
        <f t="shared" si="7"/>
      </c>
      <c r="AD39" s="2">
        <f t="shared" si="7"/>
      </c>
    </row>
    <row r="40" spans="4:30" ht="12">
      <c r="D40">
        <f t="shared" si="6"/>
      </c>
      <c r="F40" s="2">
        <f t="shared" si="4"/>
      </c>
      <c r="AC40" s="2">
        <f t="shared" si="7"/>
      </c>
      <c r="AD40" s="2">
        <f t="shared" si="7"/>
      </c>
    </row>
    <row r="41" spans="4:30" ht="12">
      <c r="D41">
        <f t="shared" si="6"/>
      </c>
      <c r="F41" s="2">
        <f t="shared" si="4"/>
      </c>
      <c r="AC41" s="2">
        <f t="shared" si="7"/>
      </c>
      <c r="AD41" s="2">
        <f t="shared" si="7"/>
      </c>
    </row>
    <row r="42" spans="4:30" ht="12">
      <c r="D42">
        <f t="shared" si="6"/>
      </c>
      <c r="F42" s="2">
        <f t="shared" si="4"/>
      </c>
      <c r="AC42" s="2">
        <f t="shared" si="7"/>
      </c>
      <c r="AD42" s="2">
        <f t="shared" si="7"/>
      </c>
    </row>
    <row r="43" spans="4:30" ht="12">
      <c r="D43">
        <f t="shared" si="6"/>
      </c>
      <c r="F43" s="2">
        <f t="shared" si="4"/>
      </c>
      <c r="AC43" s="2">
        <f t="shared" si="7"/>
      </c>
      <c r="AD43" s="2">
        <f t="shared" si="7"/>
      </c>
    </row>
    <row r="44" spans="4:30" ht="12">
      <c r="D44">
        <f t="shared" si="6"/>
      </c>
      <c r="F44" s="2">
        <f t="shared" si="4"/>
      </c>
      <c r="AC44" s="2">
        <f t="shared" si="7"/>
      </c>
      <c r="AD44" s="2">
        <f t="shared" si="7"/>
      </c>
    </row>
    <row r="45" spans="4:30" ht="12">
      <c r="D45">
        <f t="shared" si="6"/>
      </c>
      <c r="F45" s="2">
        <f t="shared" si="4"/>
      </c>
      <c r="AC45" s="2">
        <f t="shared" si="7"/>
      </c>
      <c r="AD45" s="2">
        <f t="shared" si="7"/>
      </c>
    </row>
    <row r="46" spans="4:30" ht="12">
      <c r="D46">
        <f t="shared" si="6"/>
      </c>
      <c r="F46" s="2">
        <f t="shared" si="4"/>
      </c>
      <c r="AC46" s="2">
        <f t="shared" si="7"/>
      </c>
      <c r="AD46" s="2">
        <f t="shared" si="7"/>
      </c>
    </row>
    <row r="47" spans="4:30" ht="12">
      <c r="D47">
        <f t="shared" si="6"/>
      </c>
      <c r="F47" s="2">
        <f t="shared" si="4"/>
      </c>
      <c r="AC47" s="2">
        <f t="shared" si="7"/>
      </c>
      <c r="AD47" s="2">
        <f t="shared" si="7"/>
      </c>
    </row>
    <row r="48" spans="4:30" ht="12">
      <c r="D48">
        <f t="shared" si="6"/>
      </c>
      <c r="F48" s="2">
        <f t="shared" si="4"/>
      </c>
      <c r="AC48" s="2">
        <f t="shared" si="7"/>
      </c>
      <c r="AD48" s="2">
        <f t="shared" si="7"/>
      </c>
    </row>
    <row r="49" spans="4:30" ht="12">
      <c r="D49">
        <f t="shared" si="6"/>
      </c>
      <c r="F49" s="2">
        <f t="shared" si="4"/>
      </c>
      <c r="AC49" s="2">
        <f t="shared" si="7"/>
      </c>
      <c r="AD49" s="2">
        <f t="shared" si="7"/>
      </c>
    </row>
    <row r="50" spans="4:30" ht="12">
      <c r="D50">
        <f t="shared" si="6"/>
      </c>
      <c r="F50" s="2">
        <f t="shared" si="4"/>
      </c>
      <c r="AC50" s="2">
        <f t="shared" si="7"/>
      </c>
      <c r="AD50" s="2">
        <f t="shared" si="7"/>
      </c>
    </row>
    <row r="51" spans="4:30" ht="12">
      <c r="D51">
        <f t="shared" si="6"/>
      </c>
      <c r="F51" s="2">
        <f t="shared" si="4"/>
      </c>
      <c r="AC51" s="2">
        <f t="shared" si="7"/>
      </c>
      <c r="AD51" s="2">
        <f t="shared" si="7"/>
      </c>
    </row>
    <row r="52" spans="4:30" ht="12">
      <c r="D52">
        <f t="shared" si="6"/>
      </c>
      <c r="F52" s="2">
        <f t="shared" si="4"/>
      </c>
      <c r="AC52" s="2">
        <f t="shared" si="7"/>
      </c>
      <c r="AD52" s="2">
        <f t="shared" si="7"/>
      </c>
    </row>
    <row r="53" spans="4:30" ht="12">
      <c r="D53">
        <f t="shared" si="6"/>
      </c>
      <c r="F53" s="2">
        <f t="shared" si="4"/>
      </c>
      <c r="AC53" s="2">
        <f t="shared" si="7"/>
      </c>
      <c r="AD53" s="2">
        <f t="shared" si="7"/>
      </c>
    </row>
    <row r="54" spans="4:30" ht="12">
      <c r="D54">
        <f t="shared" si="6"/>
      </c>
      <c r="F54" s="2">
        <f t="shared" si="4"/>
      </c>
      <c r="AC54" s="2">
        <f t="shared" si="7"/>
      </c>
      <c r="AD54" s="2">
        <f t="shared" si="7"/>
      </c>
    </row>
    <row r="55" spans="4:30" ht="12">
      <c r="D55">
        <f t="shared" si="6"/>
      </c>
      <c r="F55" s="2">
        <f t="shared" si="4"/>
      </c>
      <c r="AC55" s="2">
        <f t="shared" si="7"/>
      </c>
      <c r="AD55" s="2">
        <f t="shared" si="7"/>
      </c>
    </row>
    <row r="56" spans="4:30" ht="12">
      <c r="D56">
        <f t="shared" si="6"/>
      </c>
      <c r="F56" s="2">
        <f t="shared" si="4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6"/>
      </c>
      <c r="F57" s="2">
        <f t="shared" si="4"/>
      </c>
      <c r="AC57" s="2">
        <f t="shared" si="8"/>
      </c>
      <c r="AD57" s="2">
        <f t="shared" si="8"/>
      </c>
    </row>
    <row r="58" spans="4:30" ht="12">
      <c r="D58">
        <f t="shared" si="6"/>
      </c>
      <c r="F58" s="2">
        <f t="shared" si="4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6"/>
      </c>
      <c r="F59" s="2">
        <f t="shared" si="4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A19:AD58 J15:AD1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B36" sqref="B36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1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29</v>
      </c>
      <c r="B9" s="27">
        <v>3</v>
      </c>
      <c r="C9" s="10"/>
      <c r="D9" s="8"/>
      <c r="E9" s="12" t="s">
        <v>71</v>
      </c>
      <c r="F9" s="12" t="s">
        <v>30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0</v>
      </c>
      <c r="F10" s="9">
        <f ca="1">IF(AND(SUM(OFFSET(F14,1,0,TaskRows,1))=0),0,SUM(OFFSET(F14,1,0,TaskRows,1)))</f>
        <v>0</v>
      </c>
      <c r="G10" s="9">
        <f aca="true" ca="1" t="shared" si="0" ref="G10:AD10">IF(AND(SUM(OFFSET(G14,1,0,TaskRows,1))=0),"",SUM(OFFSET(G14,1,0,TaskRows,1)))</f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19</v>
      </c>
      <c r="C11" t="s">
        <v>83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  <v>3</v>
      </c>
      <c r="I14" s="11">
        <f t="shared" si="3"/>
      </c>
      <c r="J14" s="11">
        <f t="shared" si="3"/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1:6" ht="25.5">
      <c r="A15" s="23" t="s">
        <v>149</v>
      </c>
      <c r="B15" s="25">
        <v>9</v>
      </c>
      <c r="D15" t="str">
        <f aca="true" t="shared" si="4" ref="D15:D59">IF(A15&lt;&gt;"","Planned","")</f>
        <v>Planned</v>
      </c>
      <c r="F15" s="2">
        <f aca="true" t="shared" si="5" ref="F15:F59">IF(OR(F$14="",$E15=""),"",E15)</f>
      </c>
    </row>
    <row r="16" spans="1:30" ht="12.75">
      <c r="A16" s="23" t="s">
        <v>150</v>
      </c>
      <c r="B16" s="25">
        <v>10</v>
      </c>
      <c r="D16" t="str">
        <f t="shared" si="4"/>
        <v>Planned</v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1:30" ht="12.75">
      <c r="A17" s="23" t="s">
        <v>151</v>
      </c>
      <c r="B17" s="25">
        <v>11</v>
      </c>
      <c r="D17" t="str">
        <f t="shared" si="4"/>
        <v>Planned</v>
      </c>
      <c r="F17" s="2">
        <f t="shared" si="5"/>
      </c>
      <c r="AC17" s="2">
        <f t="shared" si="6"/>
      </c>
      <c r="AD17" s="2">
        <f t="shared" si="6"/>
      </c>
    </row>
    <row r="18" spans="1:30" ht="12.75">
      <c r="A18" s="23" t="s">
        <v>152</v>
      </c>
      <c r="B18" s="25">
        <v>12</v>
      </c>
      <c r="D18" t="str">
        <f t="shared" si="4"/>
        <v>Planned</v>
      </c>
      <c r="F18" s="2">
        <f t="shared" si="5"/>
      </c>
      <c r="AC18" s="2">
        <f t="shared" si="6"/>
      </c>
      <c r="AD18" s="2">
        <f t="shared" si="6"/>
      </c>
    </row>
    <row r="19" spans="1:30" ht="25.5">
      <c r="A19" s="23" t="s">
        <v>153</v>
      </c>
      <c r="B19" s="25">
        <v>13</v>
      </c>
      <c r="D19" t="str">
        <f t="shared" si="4"/>
        <v>Planned</v>
      </c>
      <c r="F19" s="2">
        <f t="shared" si="5"/>
      </c>
      <c r="AC19" s="2">
        <f t="shared" si="6"/>
      </c>
      <c r="AD19" s="2">
        <f t="shared" si="6"/>
      </c>
    </row>
    <row r="20" spans="1:30" ht="25.5">
      <c r="A20" s="23" t="s">
        <v>154</v>
      </c>
      <c r="B20" s="25">
        <v>14</v>
      </c>
      <c r="D20" t="str">
        <f t="shared" si="4"/>
        <v>Planned</v>
      </c>
      <c r="F20" s="2">
        <f t="shared" si="5"/>
      </c>
      <c r="AC20" s="2">
        <f t="shared" si="6"/>
      </c>
      <c r="AD20" s="2">
        <f t="shared" si="6"/>
      </c>
    </row>
    <row r="21" spans="1:30" ht="12">
      <c r="A21" s="23" t="s">
        <v>155</v>
      </c>
      <c r="B21" s="25">
        <v>15</v>
      </c>
      <c r="D21" t="str">
        <f t="shared" si="4"/>
        <v>Planned</v>
      </c>
      <c r="F21" s="2">
        <f t="shared" si="5"/>
      </c>
      <c r="AC21" s="2">
        <f t="shared" si="6"/>
      </c>
      <c r="AD21" s="2">
        <f t="shared" si="6"/>
      </c>
    </row>
    <row r="22" spans="1:30" ht="12">
      <c r="A22" s="23" t="s">
        <v>156</v>
      </c>
      <c r="B22" s="25">
        <v>16</v>
      </c>
      <c r="D22" t="str">
        <f t="shared" si="4"/>
        <v>Planned</v>
      </c>
      <c r="F22" s="2">
        <f t="shared" si="5"/>
      </c>
      <c r="AC22" s="2">
        <f t="shared" si="6"/>
      </c>
      <c r="AD22" s="2">
        <f t="shared" si="6"/>
      </c>
    </row>
    <row r="23" spans="1:30" ht="24">
      <c r="A23" s="23" t="s">
        <v>157</v>
      </c>
      <c r="B23" s="25">
        <v>17</v>
      </c>
      <c r="D23" t="str">
        <f t="shared" si="4"/>
        <v>Planned</v>
      </c>
      <c r="F23" s="2">
        <f t="shared" si="5"/>
      </c>
      <c r="AC23" s="2">
        <f t="shared" si="6"/>
      </c>
      <c r="AD23" s="2">
        <f t="shared" si="6"/>
      </c>
    </row>
    <row r="24" spans="1:30" ht="12">
      <c r="A24" s="23" t="s">
        <v>158</v>
      </c>
      <c r="B24" s="25">
        <v>18</v>
      </c>
      <c r="D24" t="str">
        <f t="shared" si="4"/>
        <v>Planned</v>
      </c>
      <c r="F24" s="2">
        <f t="shared" si="5"/>
      </c>
      <c r="AC24" s="2">
        <f t="shared" si="6"/>
      </c>
      <c r="AD24" s="2">
        <f t="shared" si="6"/>
      </c>
    </row>
    <row r="25" spans="1:30" ht="12">
      <c r="A25" s="23" t="s">
        <v>159</v>
      </c>
      <c r="B25" s="25">
        <v>19</v>
      </c>
      <c r="D25" t="str">
        <f t="shared" si="4"/>
        <v>Planned</v>
      </c>
      <c r="F25" s="2">
        <f t="shared" si="5"/>
      </c>
      <c r="AC25" s="2">
        <f t="shared" si="6"/>
      </c>
      <c r="AD25" s="2">
        <f t="shared" si="6"/>
      </c>
    </row>
    <row r="26" spans="1:30" ht="24">
      <c r="A26" s="23" t="s">
        <v>160</v>
      </c>
      <c r="B26" s="25">
        <v>20</v>
      </c>
      <c r="D26" t="str">
        <f t="shared" si="4"/>
        <v>Planned</v>
      </c>
      <c r="F26" s="2">
        <f t="shared" si="5"/>
      </c>
      <c r="AC26" s="2">
        <f t="shared" si="6"/>
      </c>
      <c r="AD26" s="2">
        <f t="shared" si="6"/>
      </c>
    </row>
    <row r="27" spans="1:30" ht="12">
      <c r="A27" s="23" t="s">
        <v>161</v>
      </c>
      <c r="B27" s="25">
        <v>21</v>
      </c>
      <c r="D27" t="str">
        <f t="shared" si="4"/>
        <v>Planned</v>
      </c>
      <c r="F27" s="2">
        <f t="shared" si="5"/>
      </c>
      <c r="AC27" s="2">
        <f t="shared" si="6"/>
      </c>
      <c r="AD27" s="2">
        <f t="shared" si="6"/>
      </c>
    </row>
    <row r="28" spans="1:30" ht="12">
      <c r="A28" s="23" t="s">
        <v>162</v>
      </c>
      <c r="B28" s="25">
        <v>22</v>
      </c>
      <c r="D28" t="str">
        <f t="shared" si="4"/>
        <v>Planned</v>
      </c>
      <c r="F28" s="2">
        <f t="shared" si="5"/>
      </c>
      <c r="AC28" s="2">
        <f t="shared" si="6"/>
      </c>
      <c r="AD28" s="2">
        <f t="shared" si="6"/>
      </c>
    </row>
    <row r="29" spans="1:30" ht="12">
      <c r="A29" s="23" t="s">
        <v>163</v>
      </c>
      <c r="B29" s="25">
        <v>23</v>
      </c>
      <c r="D29" t="str">
        <f t="shared" si="4"/>
        <v>Planned</v>
      </c>
      <c r="F29" s="2">
        <f t="shared" si="5"/>
      </c>
      <c r="AC29" s="2">
        <f t="shared" si="6"/>
      </c>
      <c r="AD29" s="2">
        <f t="shared" si="6"/>
      </c>
    </row>
    <row r="30" spans="1:30" ht="12">
      <c r="A30" s="26" t="s">
        <v>37</v>
      </c>
      <c r="B30" s="25">
        <v>24</v>
      </c>
      <c r="D30" t="str">
        <f t="shared" si="4"/>
        <v>Planned</v>
      </c>
      <c r="F30" s="2">
        <f t="shared" si="5"/>
      </c>
      <c r="AC30" s="2">
        <f t="shared" si="6"/>
      </c>
      <c r="AD30" s="2">
        <f t="shared" si="6"/>
      </c>
    </row>
    <row r="31" spans="1:30" ht="24">
      <c r="A31" s="23" t="s">
        <v>38</v>
      </c>
      <c r="B31" s="25">
        <v>25</v>
      </c>
      <c r="D31" t="str">
        <f t="shared" si="4"/>
        <v>Planned</v>
      </c>
      <c r="F31" s="2">
        <f t="shared" si="5"/>
      </c>
      <c r="AC31" s="2">
        <f t="shared" si="6"/>
      </c>
      <c r="AD31" s="2">
        <f t="shared" si="6"/>
      </c>
    </row>
    <row r="32" spans="1:30" ht="24">
      <c r="A32" s="23" t="s">
        <v>39</v>
      </c>
      <c r="B32" s="25">
        <v>26</v>
      </c>
      <c r="D32" t="str">
        <f t="shared" si="4"/>
        <v>Planned</v>
      </c>
      <c r="F32" s="2">
        <f t="shared" si="5"/>
      </c>
      <c r="AC32" s="2">
        <f t="shared" si="6"/>
      </c>
      <c r="AD32" s="2">
        <f t="shared" si="6"/>
      </c>
    </row>
    <row r="33" spans="1:30" ht="24">
      <c r="A33" s="23" t="s">
        <v>40</v>
      </c>
      <c r="B33" s="25">
        <v>27</v>
      </c>
      <c r="D33" t="str">
        <f t="shared" si="4"/>
        <v>Planned</v>
      </c>
      <c r="F33" s="2">
        <f t="shared" si="5"/>
      </c>
      <c r="AC33" s="2">
        <f t="shared" si="6"/>
      </c>
      <c r="AD33" s="2">
        <f t="shared" si="6"/>
      </c>
    </row>
    <row r="34" spans="4:30" ht="12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">
      <c r="D64">
        <f>IF(A64&lt;&gt;"","Planned","")</f>
      </c>
    </row>
  </sheetData>
  <conditionalFormatting sqref="J15:AD18 C19:AD58 A34:B5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C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conditionalFormatting sqref="B15:B33">
    <cfRule type="expression" priority="5" dxfId="3" stopIfTrue="1">
      <formula>$C15="Done"</formula>
    </cfRule>
    <cfRule type="expression" priority="6" dxfId="4" stopIfTrue="1">
      <formula>$C15="Ongoing"</formula>
    </cfRule>
    <cfRule type="expression" priority="7" dxfId="5" stopIfTrue="1">
      <formula>$C15="Removed"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"/>
  <dimension ref="A1:AD64"/>
  <sheetViews>
    <sheetView workbookViewId="0" topLeftCell="A1">
      <pane ySplit="14" topLeftCell="A15" activePane="bottomLeft" state="frozen"/>
      <selection pane="topLeft" activeCell="A1" sqref="A1"/>
      <selection pane="bottomLeft" activeCell="L21" sqref="L21"/>
    </sheetView>
  </sheetViews>
  <sheetFormatPr defaultColWidth="11.421875" defaultRowHeight="12.75"/>
  <cols>
    <col min="1" max="1" width="38.421875" style="0" customWidth="1"/>
    <col min="2" max="2" width="8.421875" style="2" customWidth="1"/>
    <col min="3" max="3" width="13.7109375" style="0" customWidth="1"/>
    <col min="4" max="4" width="11.421875" style="0" customWidth="1"/>
    <col min="5" max="5" width="6.421875" style="2" customWidth="1"/>
    <col min="6" max="30" width="4.421875" style="2" customWidth="1"/>
    <col min="31" max="16384" width="8.8515625" style="0" customWidth="1"/>
  </cols>
  <sheetData>
    <row r="1" spans="1:30" ht="18">
      <c r="A1" s="89">
        <v>1</v>
      </c>
      <c r="B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0" t="s">
        <v>29</v>
      </c>
      <c r="B9" s="27">
        <v>3</v>
      </c>
      <c r="C9" s="10"/>
      <c r="D9" s="8"/>
      <c r="E9" s="12" t="s">
        <v>71</v>
      </c>
      <c r="F9" s="12" t="s">
        <v>30</v>
      </c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2.75">
      <c r="A10" s="10" t="s">
        <v>89</v>
      </c>
      <c r="B10" s="27">
        <v>5</v>
      </c>
      <c r="C10" s="10" t="s">
        <v>90</v>
      </c>
      <c r="D10" s="10" t="s">
        <v>77</v>
      </c>
      <c r="E10" s="9">
        <f ca="1">SUM(OFFSET(E14,1,0,TaskRows,1))</f>
        <v>0</v>
      </c>
      <c r="F10" s="9">
        <f ca="1">IF(AND(SUM(OFFSET(F14,1,0,TaskRows,1))=0),0,SUM(OFFSET(F14,1,0,TaskRows,1)))</f>
        <v>0</v>
      </c>
      <c r="G10" s="9">
        <f aca="true" ca="1" t="shared" si="0" ref="G10:AD10">IF(AND(SUM(OFFSET(G14,1,0,TaskRows,1))=0),"",SUM(OFFSET(G14,1,0,TaskRows,1)))</f>
      </c>
      <c r="H10" s="9">
        <f ca="1" t="shared" si="0"/>
      </c>
      <c r="I10" s="9">
        <f ca="1" t="shared" si="0"/>
      </c>
      <c r="J10" s="9">
        <f ca="1" t="shared" si="0"/>
      </c>
      <c r="K10" s="9">
        <f ca="1" t="shared" si="0"/>
      </c>
      <c r="L10" s="9">
        <f ca="1" t="shared" si="0"/>
      </c>
      <c r="M10" s="9">
        <f ca="1" t="shared" si="0"/>
      </c>
      <c r="N10" s="9">
        <f ca="1" t="shared" si="0"/>
      </c>
      <c r="O10" s="9">
        <f ca="1" t="shared" si="0"/>
      </c>
      <c r="P10" s="9">
        <f ca="1" t="shared" si="0"/>
      </c>
      <c r="Q10" s="9">
        <f ca="1" t="shared" si="0"/>
      </c>
      <c r="R10" s="9">
        <f ca="1" t="shared" si="0"/>
      </c>
      <c r="S10" s="9">
        <f ca="1" t="shared" si="0"/>
      </c>
      <c r="T10" s="9">
        <f ca="1" t="shared" si="0"/>
      </c>
      <c r="U10" s="9">
        <f ca="1" t="shared" si="0"/>
      </c>
      <c r="V10" s="9">
        <f ca="1" t="shared" si="0"/>
      </c>
      <c r="W10" s="9">
        <f ca="1" t="shared" si="0"/>
      </c>
      <c r="X10" s="9">
        <f ca="1" t="shared" si="0"/>
      </c>
      <c r="Y10" s="9">
        <f ca="1" t="shared" si="0"/>
      </c>
      <c r="Z10" s="9">
        <f ca="1" t="shared" si="0"/>
      </c>
      <c r="AA10" s="9">
        <f ca="1" t="shared" si="0"/>
      </c>
      <c r="AB10" s="9">
        <f ca="1" t="shared" si="0"/>
      </c>
      <c r="AC10" s="9">
        <f ca="1" t="shared" si="0"/>
      </c>
      <c r="AD10" s="9">
        <f ca="1" t="shared" si="0"/>
      </c>
    </row>
    <row r="11" spans="1:30" ht="12" hidden="1">
      <c r="A11" t="s">
        <v>82</v>
      </c>
      <c r="B11" s="2">
        <f>IF(COUNTA(A15:A242)=0,1,COUNTA(A15:A242))</f>
        <v>50</v>
      </c>
      <c r="C11" t="s">
        <v>83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" hidden="1">
      <c r="A12" s="39" t="s">
        <v>86</v>
      </c>
      <c r="B12"/>
      <c r="C12" t="s">
        <v>84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" hidden="1">
      <c r="A13" s="39" t="s">
        <v>87</v>
      </c>
      <c r="B13"/>
      <c r="C13" t="s">
        <v>85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0" t="s">
        <v>69</v>
      </c>
      <c r="B14" s="11" t="s">
        <v>81</v>
      </c>
      <c r="C14" s="10" t="s">
        <v>70</v>
      </c>
      <c r="D14" s="10" t="s">
        <v>65</v>
      </c>
      <c r="E14" s="11" t="s">
        <v>72</v>
      </c>
      <c r="F14" s="11">
        <v>1</v>
      </c>
      <c r="G14" s="11">
        <f aca="true" t="shared" si="3" ref="G14:AD14">IF($B$9&gt;F14,F14+1,"")</f>
        <v>2</v>
      </c>
      <c r="H14" s="11">
        <f t="shared" si="3"/>
        <v>3</v>
      </c>
      <c r="I14" s="11">
        <f t="shared" si="3"/>
      </c>
      <c r="J14" s="11">
        <f t="shared" si="3"/>
      </c>
      <c r="K14" s="11">
        <f t="shared" si="3"/>
      </c>
      <c r="L14" s="11">
        <f t="shared" si="3"/>
      </c>
      <c r="M14" s="11">
        <f t="shared" si="3"/>
      </c>
      <c r="N14" s="11">
        <f t="shared" si="3"/>
      </c>
      <c r="O14" s="11">
        <f t="shared" si="3"/>
      </c>
      <c r="P14" s="11">
        <f t="shared" si="3"/>
      </c>
      <c r="Q14" s="11">
        <f t="shared" si="3"/>
      </c>
      <c r="R14" s="11">
        <f t="shared" si="3"/>
      </c>
      <c r="S14" s="11">
        <f t="shared" si="3"/>
      </c>
      <c r="T14" s="11">
        <f t="shared" si="3"/>
      </c>
      <c r="U14" s="11">
        <f t="shared" si="3"/>
      </c>
      <c r="V14" s="11">
        <f t="shared" si="3"/>
      </c>
      <c r="W14" s="11">
        <f t="shared" si="3"/>
      </c>
      <c r="X14" s="11">
        <f t="shared" si="3"/>
      </c>
      <c r="Y14" s="11">
        <f t="shared" si="3"/>
      </c>
      <c r="Z14" s="11">
        <f t="shared" si="3"/>
      </c>
      <c r="AA14" s="11">
        <f t="shared" si="3"/>
      </c>
      <c r="AB14" s="11">
        <f t="shared" si="3"/>
      </c>
      <c r="AC14" s="11">
        <f t="shared" si="3"/>
      </c>
      <c r="AD14" s="11">
        <f t="shared" si="3"/>
      </c>
    </row>
    <row r="15" spans="1:6" ht="25.5">
      <c r="A15" s="23" t="s">
        <v>41</v>
      </c>
      <c r="B15" s="25">
        <v>28</v>
      </c>
      <c r="D15" t="str">
        <f aca="true" t="shared" si="4" ref="D15:D59">IF(A15&lt;&gt;"","Planned","")</f>
        <v>Planned</v>
      </c>
      <c r="F15" s="2">
        <f aca="true" t="shared" si="5" ref="F15:F59">IF(OR(F$14="",$E15=""),"",E15)</f>
      </c>
    </row>
    <row r="16" spans="1:30" ht="25.5">
      <c r="A16" s="23" t="s">
        <v>42</v>
      </c>
      <c r="B16" s="25">
        <v>29</v>
      </c>
      <c r="D16" t="str">
        <f t="shared" si="4"/>
        <v>Planned</v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1:30" ht="25.5">
      <c r="A17" s="23" t="s">
        <v>43</v>
      </c>
      <c r="B17" s="25">
        <v>30</v>
      </c>
      <c r="D17" t="str">
        <f t="shared" si="4"/>
        <v>Planned</v>
      </c>
      <c r="F17" s="2">
        <f t="shared" si="5"/>
      </c>
      <c r="AC17" s="2">
        <f t="shared" si="6"/>
      </c>
      <c r="AD17" s="2">
        <f t="shared" si="6"/>
      </c>
    </row>
    <row r="18" spans="1:30" ht="25.5">
      <c r="A18" s="23" t="s">
        <v>44</v>
      </c>
      <c r="B18" s="25">
        <v>31</v>
      </c>
      <c r="D18" t="str">
        <f t="shared" si="4"/>
        <v>Planned</v>
      </c>
      <c r="F18" s="2">
        <f t="shared" si="5"/>
      </c>
      <c r="AC18" s="2">
        <f t="shared" si="6"/>
      </c>
      <c r="AD18" s="2">
        <f t="shared" si="6"/>
      </c>
    </row>
    <row r="19" spans="1:30" ht="12">
      <c r="A19" s="23" t="s">
        <v>45</v>
      </c>
      <c r="B19" s="25">
        <v>32</v>
      </c>
      <c r="D19" t="str">
        <f t="shared" si="4"/>
        <v>Planned</v>
      </c>
      <c r="F19" s="2">
        <f t="shared" si="5"/>
      </c>
      <c r="AC19" s="2">
        <f t="shared" si="6"/>
      </c>
      <c r="AD19" s="2">
        <f t="shared" si="6"/>
      </c>
    </row>
    <row r="20" spans="1:30" ht="12">
      <c r="A20" s="23" t="s">
        <v>46</v>
      </c>
      <c r="B20" s="25">
        <v>33</v>
      </c>
      <c r="D20" t="str">
        <f t="shared" si="4"/>
        <v>Planned</v>
      </c>
      <c r="F20" s="2">
        <f t="shared" si="5"/>
      </c>
      <c r="AC20" s="2">
        <f t="shared" si="6"/>
      </c>
      <c r="AD20" s="2">
        <f t="shared" si="6"/>
      </c>
    </row>
    <row r="21" spans="1:30" ht="24">
      <c r="A21" s="23" t="s">
        <v>172</v>
      </c>
      <c r="B21" s="25">
        <v>34</v>
      </c>
      <c r="D21" t="str">
        <f t="shared" si="4"/>
        <v>Planned</v>
      </c>
      <c r="F21" s="2">
        <f t="shared" si="5"/>
      </c>
      <c r="AC21" s="2">
        <f t="shared" si="6"/>
      </c>
      <c r="AD21" s="2">
        <f t="shared" si="6"/>
      </c>
    </row>
    <row r="22" spans="1:30" ht="12">
      <c r="A22" s="23" t="s">
        <v>173</v>
      </c>
      <c r="B22" s="25">
        <v>35</v>
      </c>
      <c r="D22" t="str">
        <f t="shared" si="4"/>
        <v>Planned</v>
      </c>
      <c r="F22" s="2">
        <f t="shared" si="5"/>
      </c>
      <c r="AC22" s="2">
        <f t="shared" si="6"/>
      </c>
      <c r="AD22" s="2">
        <f t="shared" si="6"/>
      </c>
    </row>
    <row r="23" spans="1:30" ht="24">
      <c r="A23" s="23" t="s">
        <v>174</v>
      </c>
      <c r="B23" s="25">
        <v>36</v>
      </c>
      <c r="D23" t="str">
        <f t="shared" si="4"/>
        <v>Planned</v>
      </c>
      <c r="F23" s="2">
        <f t="shared" si="5"/>
      </c>
      <c r="AC23" s="2">
        <f t="shared" si="6"/>
      </c>
      <c r="AD23" s="2">
        <f t="shared" si="6"/>
      </c>
    </row>
    <row r="24" spans="1:30" ht="24">
      <c r="A24" s="23" t="s">
        <v>175</v>
      </c>
      <c r="B24" s="25">
        <v>37</v>
      </c>
      <c r="D24" t="str">
        <f t="shared" si="4"/>
        <v>Planned</v>
      </c>
      <c r="F24" s="2">
        <f t="shared" si="5"/>
      </c>
      <c r="AC24" s="2">
        <f t="shared" si="6"/>
      </c>
      <c r="AD24" s="2">
        <f t="shared" si="6"/>
      </c>
    </row>
    <row r="25" spans="1:30" ht="12">
      <c r="A25" s="23" t="s">
        <v>176</v>
      </c>
      <c r="B25" s="25">
        <v>38</v>
      </c>
      <c r="D25" t="str">
        <f t="shared" si="4"/>
        <v>Planned</v>
      </c>
      <c r="F25" s="2">
        <f t="shared" si="5"/>
      </c>
      <c r="AC25" s="2">
        <f t="shared" si="6"/>
      </c>
      <c r="AD25" s="2">
        <f t="shared" si="6"/>
      </c>
    </row>
    <row r="26" spans="1:30" ht="24">
      <c r="A26" s="23" t="s">
        <v>177</v>
      </c>
      <c r="B26" s="25">
        <v>39</v>
      </c>
      <c r="D26" t="str">
        <f t="shared" si="4"/>
        <v>Planned</v>
      </c>
      <c r="F26" s="2">
        <f t="shared" si="5"/>
      </c>
      <c r="AC26" s="2">
        <f t="shared" si="6"/>
      </c>
      <c r="AD26" s="2">
        <f t="shared" si="6"/>
      </c>
    </row>
    <row r="27" spans="1:30" ht="24">
      <c r="A27" s="23" t="s">
        <v>178</v>
      </c>
      <c r="B27" s="25">
        <v>40</v>
      </c>
      <c r="D27" t="str">
        <f t="shared" si="4"/>
        <v>Planned</v>
      </c>
      <c r="F27" s="2">
        <f t="shared" si="5"/>
      </c>
      <c r="AC27" s="2">
        <f t="shared" si="6"/>
      </c>
      <c r="AD27" s="2">
        <f t="shared" si="6"/>
      </c>
    </row>
    <row r="28" spans="1:30" ht="24">
      <c r="A28" s="23" t="s">
        <v>179</v>
      </c>
      <c r="B28" s="25">
        <v>41</v>
      </c>
      <c r="D28" t="str">
        <f t="shared" si="4"/>
        <v>Planned</v>
      </c>
      <c r="F28" s="2">
        <f t="shared" si="5"/>
      </c>
      <c r="AC28" s="2">
        <f t="shared" si="6"/>
      </c>
      <c r="AD28" s="2">
        <f t="shared" si="6"/>
      </c>
    </row>
    <row r="29" spans="1:30" ht="12">
      <c r="A29" s="23" t="s">
        <v>180</v>
      </c>
      <c r="B29" s="25">
        <v>42</v>
      </c>
      <c r="D29" t="str">
        <f t="shared" si="4"/>
        <v>Planned</v>
      </c>
      <c r="F29" s="2">
        <f t="shared" si="5"/>
      </c>
      <c r="AC29" s="2">
        <f t="shared" si="6"/>
      </c>
      <c r="AD29" s="2">
        <f t="shared" si="6"/>
      </c>
    </row>
    <row r="30" spans="1:30" ht="12">
      <c r="A30" s="23" t="s">
        <v>181</v>
      </c>
      <c r="B30" s="25">
        <v>43</v>
      </c>
      <c r="D30" t="str">
        <f t="shared" si="4"/>
        <v>Planned</v>
      </c>
      <c r="F30" s="2">
        <f t="shared" si="5"/>
      </c>
      <c r="AC30" s="2">
        <f t="shared" si="6"/>
      </c>
      <c r="AD30" s="2">
        <f t="shared" si="6"/>
      </c>
    </row>
    <row r="31" spans="1:30" ht="12">
      <c r="A31" s="23" t="s">
        <v>182</v>
      </c>
      <c r="B31" s="25">
        <v>44</v>
      </c>
      <c r="D31" t="str">
        <f t="shared" si="4"/>
        <v>Planned</v>
      </c>
      <c r="F31" s="2">
        <f t="shared" si="5"/>
      </c>
      <c r="AC31" s="2">
        <f t="shared" si="6"/>
      </c>
      <c r="AD31" s="2">
        <f t="shared" si="6"/>
      </c>
    </row>
    <row r="32" spans="1:30" ht="24">
      <c r="A32" s="23" t="s">
        <v>183</v>
      </c>
      <c r="B32" s="25">
        <v>45</v>
      </c>
      <c r="D32" t="str">
        <f t="shared" si="4"/>
        <v>Planned</v>
      </c>
      <c r="F32" s="2">
        <f t="shared" si="5"/>
      </c>
      <c r="AC32" s="2">
        <f t="shared" si="6"/>
      </c>
      <c r="AD32" s="2">
        <f t="shared" si="6"/>
      </c>
    </row>
    <row r="33" spans="1:30" ht="12">
      <c r="A33" s="23" t="s">
        <v>184</v>
      </c>
      <c r="B33" s="25">
        <v>46</v>
      </c>
      <c r="D33" t="str">
        <f t="shared" si="4"/>
        <v>Planned</v>
      </c>
      <c r="F33" s="2">
        <f t="shared" si="5"/>
      </c>
      <c r="AC33" s="2">
        <f t="shared" si="6"/>
      </c>
      <c r="AD33" s="2">
        <f t="shared" si="6"/>
      </c>
    </row>
    <row r="34" spans="1:30" ht="12">
      <c r="A34" s="23" t="s">
        <v>185</v>
      </c>
      <c r="B34" s="25">
        <v>47</v>
      </c>
      <c r="D34" t="str">
        <f t="shared" si="4"/>
        <v>Planned</v>
      </c>
      <c r="F34" s="2">
        <f t="shared" si="5"/>
      </c>
      <c r="AC34" s="2">
        <f t="shared" si="6"/>
      </c>
      <c r="AD34" s="2">
        <f t="shared" si="6"/>
      </c>
    </row>
    <row r="35" spans="1:30" ht="12">
      <c r="A35" s="26" t="s">
        <v>186</v>
      </c>
      <c r="B35" s="25">
        <v>48</v>
      </c>
      <c r="D35" t="str">
        <f t="shared" si="4"/>
        <v>Planned</v>
      </c>
      <c r="F35" s="2">
        <f t="shared" si="5"/>
      </c>
      <c r="AC35" s="2">
        <f t="shared" si="6"/>
      </c>
      <c r="AD35" s="2">
        <f t="shared" si="6"/>
      </c>
    </row>
    <row r="36" spans="1:30" ht="12">
      <c r="A36" s="23" t="s">
        <v>187</v>
      </c>
      <c r="B36" s="25">
        <v>49</v>
      </c>
      <c r="D36" t="str">
        <f t="shared" si="4"/>
        <v>Planned</v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1:30" ht="24">
      <c r="A37" s="23" t="s">
        <v>188</v>
      </c>
      <c r="B37" s="25">
        <v>50</v>
      </c>
      <c r="D37" t="str">
        <f t="shared" si="4"/>
        <v>Planned</v>
      </c>
      <c r="F37" s="2">
        <f t="shared" si="5"/>
      </c>
      <c r="AC37" s="2">
        <f t="shared" si="7"/>
      </c>
      <c r="AD37" s="2">
        <f t="shared" si="7"/>
      </c>
    </row>
    <row r="38" spans="1:30" ht="24">
      <c r="A38" s="23" t="s">
        <v>189</v>
      </c>
      <c r="B38" s="25">
        <v>51</v>
      </c>
      <c r="D38" t="str">
        <f t="shared" si="4"/>
        <v>Planned</v>
      </c>
      <c r="F38" s="2">
        <f t="shared" si="5"/>
      </c>
      <c r="AC38" s="2">
        <f t="shared" si="7"/>
      </c>
      <c r="AD38" s="2">
        <f t="shared" si="7"/>
      </c>
    </row>
    <row r="39" spans="1:30" ht="12">
      <c r="A39" s="23" t="s">
        <v>190</v>
      </c>
      <c r="B39" s="25">
        <v>52</v>
      </c>
      <c r="D39" t="str">
        <f t="shared" si="4"/>
        <v>Planned</v>
      </c>
      <c r="F39" s="2">
        <f t="shared" si="5"/>
      </c>
      <c r="AC39" s="2">
        <f t="shared" si="7"/>
      </c>
      <c r="AD39" s="2">
        <f t="shared" si="7"/>
      </c>
    </row>
    <row r="40" spans="1:30" ht="24">
      <c r="A40" s="23" t="s">
        <v>191</v>
      </c>
      <c r="B40" s="25">
        <v>53</v>
      </c>
      <c r="D40" t="str">
        <f t="shared" si="4"/>
        <v>Planned</v>
      </c>
      <c r="F40" s="2">
        <f t="shared" si="5"/>
      </c>
      <c r="AC40" s="2">
        <f t="shared" si="7"/>
      </c>
      <c r="AD40" s="2">
        <f t="shared" si="7"/>
      </c>
    </row>
    <row r="41" spans="1:30" ht="24">
      <c r="A41" s="23" t="s">
        <v>192</v>
      </c>
      <c r="B41" s="25">
        <v>54</v>
      </c>
      <c r="D41" t="str">
        <f t="shared" si="4"/>
        <v>Planned</v>
      </c>
      <c r="F41" s="2">
        <f t="shared" si="5"/>
      </c>
      <c r="AC41" s="2">
        <f t="shared" si="7"/>
      </c>
      <c r="AD41" s="2">
        <f t="shared" si="7"/>
      </c>
    </row>
    <row r="42" spans="1:30" ht="12">
      <c r="A42" s="23" t="s">
        <v>193</v>
      </c>
      <c r="B42" s="25">
        <v>55</v>
      </c>
      <c r="D42" t="str">
        <f t="shared" si="4"/>
        <v>Planned</v>
      </c>
      <c r="F42" s="2">
        <f t="shared" si="5"/>
      </c>
      <c r="AC42" s="2">
        <f t="shared" si="7"/>
      </c>
      <c r="AD42" s="2">
        <f t="shared" si="7"/>
      </c>
    </row>
    <row r="43" spans="1:30" ht="24">
      <c r="A43" s="23" t="s">
        <v>194</v>
      </c>
      <c r="B43" s="25">
        <v>56</v>
      </c>
      <c r="D43" t="str">
        <f t="shared" si="4"/>
        <v>Planned</v>
      </c>
      <c r="F43" s="2">
        <f t="shared" si="5"/>
      </c>
      <c r="AC43" s="2">
        <f t="shared" si="7"/>
      </c>
      <c r="AD43" s="2">
        <f t="shared" si="7"/>
      </c>
    </row>
    <row r="44" spans="1:30" ht="12">
      <c r="A44" s="23" t="s">
        <v>195</v>
      </c>
      <c r="B44" s="25">
        <v>57</v>
      </c>
      <c r="D44" t="str">
        <f t="shared" si="4"/>
        <v>Planned</v>
      </c>
      <c r="F44" s="2">
        <f t="shared" si="5"/>
      </c>
      <c r="AC44" s="2">
        <f t="shared" si="7"/>
      </c>
      <c r="AD44" s="2">
        <f t="shared" si="7"/>
      </c>
    </row>
    <row r="45" spans="1:30" ht="12">
      <c r="A45" s="23" t="s">
        <v>196</v>
      </c>
      <c r="B45" s="25">
        <v>58</v>
      </c>
      <c r="D45" t="str">
        <f t="shared" si="4"/>
        <v>Planned</v>
      </c>
      <c r="F45" s="2">
        <f t="shared" si="5"/>
      </c>
      <c r="AC45" s="2">
        <f t="shared" si="7"/>
      </c>
      <c r="AD45" s="2">
        <f t="shared" si="7"/>
      </c>
    </row>
    <row r="46" spans="1:30" ht="12">
      <c r="A46" s="23" t="s">
        <v>197</v>
      </c>
      <c r="B46" s="25">
        <v>59</v>
      </c>
      <c r="D46" t="str">
        <f t="shared" si="4"/>
        <v>Planned</v>
      </c>
      <c r="F46" s="2">
        <f t="shared" si="5"/>
      </c>
      <c r="AC46" s="2">
        <f t="shared" si="7"/>
      </c>
      <c r="AD46" s="2">
        <f t="shared" si="7"/>
      </c>
    </row>
    <row r="47" spans="1:30" ht="24">
      <c r="A47" s="23" t="s">
        <v>198</v>
      </c>
      <c r="B47" s="25">
        <v>60</v>
      </c>
      <c r="D47" t="str">
        <f t="shared" si="4"/>
        <v>Planned</v>
      </c>
      <c r="F47" s="2">
        <f t="shared" si="5"/>
      </c>
      <c r="AC47" s="2">
        <f t="shared" si="7"/>
      </c>
      <c r="AD47" s="2">
        <f t="shared" si="7"/>
      </c>
    </row>
    <row r="48" spans="1:30" ht="24">
      <c r="A48" s="23" t="s">
        <v>112</v>
      </c>
      <c r="B48" s="25">
        <v>61</v>
      </c>
      <c r="D48" t="str">
        <f t="shared" si="4"/>
        <v>Planned</v>
      </c>
      <c r="F48" s="2">
        <f t="shared" si="5"/>
      </c>
      <c r="AC48" s="2">
        <f t="shared" si="7"/>
      </c>
      <c r="AD48" s="2">
        <f t="shared" si="7"/>
      </c>
    </row>
    <row r="49" spans="1:30" ht="24">
      <c r="A49" s="23" t="s">
        <v>113</v>
      </c>
      <c r="B49" s="25">
        <v>62</v>
      </c>
      <c r="D49" t="str">
        <f t="shared" si="4"/>
        <v>Planned</v>
      </c>
      <c r="F49" s="2">
        <f t="shared" si="5"/>
      </c>
      <c r="AC49" s="2">
        <f t="shared" si="7"/>
      </c>
      <c r="AD49" s="2">
        <f t="shared" si="7"/>
      </c>
    </row>
    <row r="50" spans="1:30" ht="12">
      <c r="A50" s="23" t="s">
        <v>114</v>
      </c>
      <c r="B50" s="25">
        <v>63</v>
      </c>
      <c r="D50" t="str">
        <f t="shared" si="4"/>
        <v>Planned</v>
      </c>
      <c r="F50" s="2">
        <f t="shared" si="5"/>
      </c>
      <c r="AC50" s="2">
        <f t="shared" si="7"/>
      </c>
      <c r="AD50" s="2">
        <f t="shared" si="7"/>
      </c>
    </row>
    <row r="51" spans="1:30" ht="24">
      <c r="A51" s="23" t="s">
        <v>115</v>
      </c>
      <c r="B51" s="25">
        <v>64</v>
      </c>
      <c r="D51" t="str">
        <f t="shared" si="4"/>
        <v>Planned</v>
      </c>
      <c r="F51" s="2">
        <f t="shared" si="5"/>
      </c>
      <c r="AC51" s="2">
        <f t="shared" si="7"/>
      </c>
      <c r="AD51" s="2">
        <f t="shared" si="7"/>
      </c>
    </row>
    <row r="52" spans="1:30" ht="12">
      <c r="A52" s="23" t="s">
        <v>116</v>
      </c>
      <c r="B52" s="25">
        <v>65</v>
      </c>
      <c r="D52" t="str">
        <f t="shared" si="4"/>
        <v>Planned</v>
      </c>
      <c r="F52" s="2">
        <f t="shared" si="5"/>
      </c>
      <c r="AC52" s="2">
        <f t="shared" si="7"/>
      </c>
      <c r="AD52" s="2">
        <f t="shared" si="7"/>
      </c>
    </row>
    <row r="53" spans="1:30" ht="12">
      <c r="A53" s="23" t="s">
        <v>117</v>
      </c>
      <c r="B53" s="25">
        <v>66</v>
      </c>
      <c r="D53" t="str">
        <f t="shared" si="4"/>
        <v>Planned</v>
      </c>
      <c r="F53" s="2">
        <f t="shared" si="5"/>
      </c>
      <c r="AC53" s="2">
        <f t="shared" si="7"/>
      </c>
      <c r="AD53" s="2">
        <f t="shared" si="7"/>
      </c>
    </row>
    <row r="54" spans="1:30" ht="24">
      <c r="A54" s="23" t="s">
        <v>118</v>
      </c>
      <c r="B54" s="25">
        <v>67</v>
      </c>
      <c r="D54" t="str">
        <f t="shared" si="4"/>
        <v>Planned</v>
      </c>
      <c r="F54" s="2">
        <f t="shared" si="5"/>
      </c>
      <c r="AC54" s="2">
        <f t="shared" si="7"/>
      </c>
      <c r="AD54" s="2">
        <f t="shared" si="7"/>
      </c>
    </row>
    <row r="55" spans="1:30" ht="24">
      <c r="A55" s="23" t="s">
        <v>119</v>
      </c>
      <c r="B55" s="25">
        <v>68</v>
      </c>
      <c r="D55" t="str">
        <f t="shared" si="4"/>
        <v>Planned</v>
      </c>
      <c r="F55" s="2">
        <f t="shared" si="5"/>
      </c>
      <c r="AC55" s="2">
        <f t="shared" si="7"/>
      </c>
      <c r="AD55" s="2">
        <f t="shared" si="7"/>
      </c>
    </row>
    <row r="56" spans="1:30" ht="24">
      <c r="A56" s="23" t="s">
        <v>120</v>
      </c>
      <c r="B56" s="25">
        <v>69</v>
      </c>
      <c r="D56" t="str">
        <f t="shared" si="4"/>
        <v>Planned</v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1:30" ht="24">
      <c r="A57" s="23" t="s">
        <v>164</v>
      </c>
      <c r="B57" s="25">
        <v>70</v>
      </c>
      <c r="D57" t="str">
        <f t="shared" si="4"/>
        <v>Planned</v>
      </c>
      <c r="F57" s="2">
        <f t="shared" si="5"/>
      </c>
      <c r="AC57" s="2">
        <f t="shared" si="8"/>
      </c>
      <c r="AD57" s="2">
        <f t="shared" si="8"/>
      </c>
    </row>
    <row r="58" spans="1:30" ht="24">
      <c r="A58" s="23" t="s">
        <v>165</v>
      </c>
      <c r="B58" s="25">
        <v>71</v>
      </c>
      <c r="D58" t="str">
        <f t="shared" si="4"/>
        <v>Planned</v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1:30" ht="24">
      <c r="A59" s="23" t="s">
        <v>166</v>
      </c>
      <c r="B59" s="25">
        <v>72</v>
      </c>
      <c r="D59" t="str">
        <f t="shared" si="4"/>
        <v>Planned</v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0" spans="1:2" ht="24">
      <c r="A60" s="23" t="s">
        <v>167</v>
      </c>
      <c r="B60" s="25">
        <v>73</v>
      </c>
    </row>
    <row r="61" spans="1:2" ht="24">
      <c r="A61" s="23" t="s">
        <v>168</v>
      </c>
      <c r="B61" s="25">
        <v>74</v>
      </c>
    </row>
    <row r="62" spans="1:2" ht="24">
      <c r="A62" s="23" t="s">
        <v>169</v>
      </c>
      <c r="B62" s="25">
        <v>75</v>
      </c>
    </row>
    <row r="63" spans="1:2" ht="12">
      <c r="A63" s="23" t="s">
        <v>170</v>
      </c>
      <c r="B63" s="25">
        <v>76</v>
      </c>
    </row>
    <row r="64" spans="1:4" ht="24">
      <c r="A64" s="23" t="s">
        <v>171</v>
      </c>
      <c r="B64" s="25">
        <v>77</v>
      </c>
      <c r="D64" t="str">
        <f>IF(A64&lt;&gt;"","Planned","")</f>
        <v>Planned</v>
      </c>
    </row>
  </sheetData>
  <conditionalFormatting sqref="J15:AD18 C19:AD5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C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conditionalFormatting sqref="B15:B64">
    <cfRule type="expression" priority="5" dxfId="3" stopIfTrue="1">
      <formula>$C15="Done"</formula>
    </cfRule>
    <cfRule type="expression" priority="6" dxfId="4" stopIfTrue="1">
      <formula>$C15="Ongoing"</formula>
    </cfRule>
    <cfRule type="expression" priority="7" dxfId="5" stopIfTrue="1">
      <formula>$C15="Removed"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SysOpen Digia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Iteration Plans</dc:title>
  <dc:subject/>
  <dc:creator>&lt; Your name &gt;</dc:creator>
  <cp:keywords/>
  <dc:description>Template versio 1.0 Approval</dc:description>
  <cp:lastModifiedBy>Juan Obes</cp:lastModifiedBy>
  <cp:lastPrinted>2006-09-01T14:59:00Z</cp:lastPrinted>
  <dcterms:created xsi:type="dcterms:W3CDTF">1998-06-05T11:20:44Z</dcterms:created>
  <dcterms:modified xsi:type="dcterms:W3CDTF">2008-02-24T16:40:31Z</dcterms:modified>
  <cp:category>SysOpen Digia Standard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